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drawings/drawing3.xml" ContentType="application/vnd.openxmlformats-officedocument.drawing+xml"/>
  <Override PartName="/xl/comments10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1.xml" ContentType="application/vnd.openxmlformats-officedocument.spreadsheetml.comments+xml"/>
  <Override PartName="/xl/drawings/drawing7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xr:revisionPtr revIDLastSave="0" documentId="13_ncr:1_{299FD7BA-620B-4AFF-A1CE-39F2EB991CA1}" xr6:coauthVersionLast="47" xr6:coauthVersionMax="47" xr10:uidLastSave="{00000000-0000-0000-0000-000000000000}"/>
  <bookViews>
    <workbookView xWindow="14640" yWindow="105" windowWidth="13245" windowHeight="14865" tabRatio="889" firstSheet="2" activeTab="2" xr2:uid="{00000000-000D-0000-FFFF-FFFF00000000}"/>
  </bookViews>
  <sheets>
    <sheet name="FU" sheetId="61" state="hidden" r:id="rId1"/>
    <sheet name="XML export" sheetId="62" state="hidden" r:id="rId2"/>
    <sheet name="UVOD" sheetId="80" r:id="rId3"/>
    <sheet name="ZAKL_DATA" sheetId="57" r:id="rId4"/>
    <sheet name="XML_export" sheetId="63" r:id="rId5"/>
    <sheet name="DAP1" sheetId="1" r:id="rId6"/>
    <sheet name="DAP2" sheetId="30" r:id="rId7"/>
    <sheet name="DAP3" sheetId="31" r:id="rId8"/>
    <sheet name="DAP4" sheetId="32" r:id="rId9"/>
    <sheet name="ZAV" sheetId="27" r:id="rId10"/>
    <sheet name="1Př1" sheetId="33" r:id="rId11"/>
    <sheet name="1Př2" sheetId="34" r:id="rId12"/>
    <sheet name="2Př" sheetId="35" r:id="rId13"/>
    <sheet name="3Př" sheetId="38" r:id="rId14"/>
    <sheet name="4Př" sheetId="77" r:id="rId15"/>
    <sheet name="3Př_a" sheetId="54" r:id="rId16"/>
    <sheet name="6Př" sheetId="53" r:id="rId17"/>
    <sheet name="Př_b" sheetId="55" r:id="rId18"/>
    <sheet name="Příl_děti" sheetId="79" r:id="rId19"/>
    <sheet name="Potvr_ZAM" sheetId="66" r:id="rId20"/>
    <sheet name="Prohl_manž" sheetId="67" r:id="rId21"/>
    <sheet name="SP1" sheetId="73" r:id="rId22"/>
    <sheet name="SP2" sheetId="74" r:id="rId23"/>
    <sheet name="SP_zam" sheetId="68" r:id="rId24"/>
    <sheet name="SP_stud" sheetId="69" r:id="rId25"/>
    <sheet name="SP_prijem" sheetId="70" r:id="rId26"/>
    <sheet name="VZP" sheetId="75" r:id="rId27"/>
    <sheet name="Ostatní ZP" sheetId="76" r:id="rId28"/>
    <sheet name="Zálohy" sheetId="78" r:id="rId29"/>
    <sheet name="Účetní_závěrka" sheetId="64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28" hidden="1">Zálohy!$G$8:$G$51</definedName>
    <definedName name="fin_ur" localSheetId="14">[1]FU!$B$3:$B$17</definedName>
    <definedName name="fin_ur" localSheetId="19">[2]FU!$B$3:$B$17</definedName>
    <definedName name="fin_ur" localSheetId="20">[2]FU!$B$3:$B$17</definedName>
    <definedName name="fin_ur" localSheetId="18">[3]FU!$B$3:$B$17</definedName>
    <definedName name="fin_ur" localSheetId="25">[4]FU!$B$3:$B$17</definedName>
    <definedName name="fin_ur" localSheetId="29">[5]FU!$B$3:$B$17</definedName>
    <definedName name="fin_ur" localSheetId="2">[6]FU!$B$3:$B$17</definedName>
    <definedName name="fin_ur" localSheetId="4">[5]FU!$B$3:$B$17</definedName>
    <definedName name="fin_ur" localSheetId="28">[1]FU!$B$3:$B$17</definedName>
    <definedName name="fin_ur">FU!$B$3:$B$17</definedName>
    <definedName name="_xlnm.Print_Area" localSheetId="10">'1Př1'!$A$1:$K$38</definedName>
    <definedName name="_xlnm.Print_Area" localSheetId="11">'1Př2'!$A$1:$G$50</definedName>
    <definedName name="_xlnm.Print_Area" localSheetId="12">'2Př'!$A$1:$J$40</definedName>
    <definedName name="_xlnm.Print_Area" localSheetId="13">'3Př'!$A$1:$G$34</definedName>
    <definedName name="_xlnm.Print_Area" localSheetId="15">'3Př_a'!$A$1:$G$23</definedName>
    <definedName name="_xlnm.Print_Area" localSheetId="14">'4Př'!$A$1:$G$23</definedName>
    <definedName name="_xlnm.Print_Area" localSheetId="16">'6Př'!$A$1:$F$36</definedName>
    <definedName name="_xlnm.Print_Area" localSheetId="5">'DAP1'!$A$1:$L$48</definedName>
    <definedName name="_xlnm.Print_Area" localSheetId="6">'DAP2'!$A$1:$J$45</definedName>
    <definedName name="_xlnm.Print_Area" localSheetId="7">'DAP3'!$A$1:$K$49</definedName>
    <definedName name="_xlnm.Print_Area" localSheetId="8">'DAP4'!$A$1:$K$61</definedName>
    <definedName name="_xlnm.Print_Area" localSheetId="27">'Ostatní ZP'!$A$1:$AR$58</definedName>
    <definedName name="_xlnm.Print_Area" localSheetId="19">Potvr_ZAM!$A$1:$G$54</definedName>
    <definedName name="_xlnm.Print_Area" localSheetId="20">Prohl_manž!$A$1:$E$24</definedName>
    <definedName name="_xlnm.Print_Area" localSheetId="17">Př_b!$A$1:$F$36</definedName>
    <definedName name="_xlnm.Print_Area" localSheetId="18">Příl_děti!$A$1:$K$15</definedName>
    <definedName name="_xlnm.Print_Area" localSheetId="25">SP_prijem!$A$1:$I$53</definedName>
    <definedName name="_xlnm.Print_Area" localSheetId="24">SP_stud!$A$1:$AE$29</definedName>
    <definedName name="_xlnm.Print_Area" localSheetId="23">SP_zam!$A$1:$AE$30</definedName>
    <definedName name="_xlnm.Print_Area" localSheetId="21">'SP1'!$A$1:$AF$69</definedName>
    <definedName name="_xlnm.Print_Area" localSheetId="22">'SP2'!$A$1:$AO$61</definedName>
    <definedName name="_xlnm.Print_Area" localSheetId="29">Účetní_závěrka!$B$1:$L$148</definedName>
    <definedName name="_xlnm.Print_Area" localSheetId="2">UVOD!$A$1:$J$26</definedName>
    <definedName name="_xlnm.Print_Area" localSheetId="26">VZP!$A$1:$AR$58</definedName>
    <definedName name="_xlnm.Print_Area" localSheetId="4">XML_export!$A$1:$B$28</definedName>
    <definedName name="_xlnm.Print_Area" localSheetId="3">ZAKL_DATA!$A$1:$E$42</definedName>
    <definedName name="_xlnm.Print_Area" localSheetId="28">Zálohy!$A$1:$E$51</definedName>
    <definedName name="_xlnm.Print_Area" localSheetId="9">ZAV!$A$2:$C$49</definedName>
    <definedName name="staty" localSheetId="14">[1]FU!$J$3:$J$253</definedName>
    <definedName name="staty" localSheetId="19">[2]FU!$J$3:$J$253</definedName>
    <definedName name="staty" localSheetId="20">[2]FU!$J$3:$J$253</definedName>
    <definedName name="staty" localSheetId="18">[3]FU!$J$3:$J$253</definedName>
    <definedName name="staty" localSheetId="25">[4]FU!$J$3:$J$253</definedName>
    <definedName name="staty" localSheetId="29">[5]FU!$J$3:$J$253</definedName>
    <definedName name="staty" localSheetId="2">[6]FU!$J$3:$J$253</definedName>
    <definedName name="staty" localSheetId="4">[5]FU!$J$3:$J$253</definedName>
    <definedName name="staty" localSheetId="28">[1]FU!$J$3:$J$253</definedName>
    <definedName name="staty">FU!$J$3:$J$253</definedName>
    <definedName name="validation_list">OFFSET('[7]Obory činnosti'!$E$2,,,COUNTIF('[7]Obory činnosti'!$E$2:$E$1750,"?*"))</definedName>
    <definedName name="validation_list2" localSheetId="14">OFFSET([1]FU!$H$3,,,COUNTIF([1]FU!$H$3:$H$204,"?*"))</definedName>
    <definedName name="validation_list2" localSheetId="19">OFFSET([2]FU!$H$3,,,COUNTIF([2]FU!$H$3:$H$204,"?*"))</definedName>
    <definedName name="validation_list2" localSheetId="20">OFFSET([2]FU!$H$3,,,COUNTIF([2]FU!$H$3:$H$204,"?*"))</definedName>
    <definedName name="validation_list2" localSheetId="18">OFFSET([3]FU!$H$3,,,COUNTIF([3]FU!$H$3:$H$204,"?*"))</definedName>
    <definedName name="validation_list2" localSheetId="25">OFFSET([4]FU!$H$3,,,COUNTIF([4]FU!$H$3:$H$204,"?*"))</definedName>
    <definedName name="validation_list2" localSheetId="29">OFFSET([5]FU!$H$3,,,COUNTIF([5]FU!$H$3:$H$204,"?*"))</definedName>
    <definedName name="validation_list2" localSheetId="2">OFFSET([6]FU!$H$3,,,COUNTIF([6]FU!$H$3:$H$204,"?*"))</definedName>
    <definedName name="validation_list2" localSheetId="4">OFFSET('[8]Finanční úřady'!$H$3,,,COUNTIF('[8]Finanční úřady'!$H$3:$H$204,"?*"))</definedName>
    <definedName name="validation_list2" localSheetId="28">OFFSET([1]FU!$H$3,,,COUNTIF([1]FU!$H$3:$H$204,"?*"))</definedName>
    <definedName name="validation_list2">OFFSET(FU!$H$3,,,COUNTIF(FU!$H$3:$H$204,"?*"))</definedName>
    <definedName name="vl_cinnosti" localSheetId="14">OFFSET([1]FU!$Q$3,,,COUNTIF([1]FU!$Q$3:$Q$1699,"?*"))</definedName>
    <definedName name="vl_cinnosti" localSheetId="19">OFFSET([2]FU!$Q$3,,,COUNTIF([2]FU!$Q$3:$Q$1699,"?*"))</definedName>
    <definedName name="vl_cinnosti" localSheetId="20">OFFSET([2]FU!$Q$3,,,COUNTIF([2]FU!$Q$3:$Q$1699,"?*"))</definedName>
    <definedName name="vl_cinnosti" localSheetId="18">OFFSET([3]FU!$Q$3,,,COUNTIF([3]FU!$Q$3:$Q$1699,"?*"))</definedName>
    <definedName name="vl_cinnosti" localSheetId="25">OFFSET([4]FU!$Q$3,,,COUNTIF([4]FU!$Q$3:$Q$1699,"?*"))</definedName>
    <definedName name="vl_cinnosti" localSheetId="29">OFFSET([5]FU!$Q$3,,,COUNTIF([5]FU!$Q$3:$Q$1699,"?*"))</definedName>
    <definedName name="vl_cinnosti" localSheetId="2">OFFSET([6]FU!$Q$3,,,COUNTIF([6]FU!$Q$3:$Q$1699,"?*"))</definedName>
    <definedName name="vl_cinnosti" localSheetId="4">OFFSET([5]FU!$Q$3,,,COUNTIF([5]FU!$Q$3:$Q$1699,"?*"))</definedName>
    <definedName name="vl_cinnosti" localSheetId="28">OFFSET([1]FU!$Q$3,,,COUNTIF([1]FU!$Q$3:$Q$1699,"?*"))</definedName>
    <definedName name="vl_cinnosti">OFFSET(FU!$Q$3,,,COUNTIF(FU!$Q$3:$Q$1699,"?*"))</definedName>
    <definedName name="vl_cinnosti2" localSheetId="14">OFFSET([1]FU!$Q$3,,,COUNTIF([1]FU!$T$3:$T$992,"?*"))</definedName>
    <definedName name="vl_cinnosti2" localSheetId="19">OFFSET([2]FU!$Q$3,,,COUNTIF([2]FU!$T$3:$T$992,"?*"))</definedName>
    <definedName name="vl_cinnosti2" localSheetId="20">OFFSET([2]FU!$Q$3,,,COUNTIF([2]FU!$T$3:$T$992,"?*"))</definedName>
    <definedName name="vl_cinnosti2" localSheetId="18">OFFSET([3]FU!$Q$3,,,COUNTIF([3]FU!$T$3:$T$992,"?*"))</definedName>
    <definedName name="vl_cinnosti2" localSheetId="25">OFFSET([4]FU!$Q$3,,,COUNTIF([4]FU!$T$3:$T$992,"?*"))</definedName>
    <definedName name="vl_cinnosti2" localSheetId="2">OFFSET([6]FU!$Q$3,,,COUNTIF([6]FU!$T$3:$T$992,"?*"))</definedName>
    <definedName name="vl_cinnosti2" localSheetId="28">OFFSET([1]FU!$Q$3,,,COUNTIF([1]FU!$T$3:$T$992,"?*"))</definedName>
    <definedName name="vl_cinnosti2">OFFSET(FU!$Q$3,,,COUNTIF(FU!$T$3:$T$992,"?*"))</definedName>
    <definedName name="vl_cinnosti3" localSheetId="14">OFFSET([1]FU!$Q$3,,,COUNTIF([1]FU!$W$3:$W$992,"?*"))</definedName>
    <definedName name="vl_cinnosti3" localSheetId="19">OFFSET([2]FU!$Q$3,,,COUNTIF([2]FU!$W$3:$W$992,"?*"))</definedName>
    <definedName name="vl_cinnosti3" localSheetId="20">OFFSET([2]FU!$Q$3,,,COUNTIF([2]FU!$W$3:$W$992,"?*"))</definedName>
    <definedName name="vl_cinnosti3" localSheetId="18">OFFSET([3]FU!$Q$3,,,COUNTIF([3]FU!$W$3:$W$992,"?*"))</definedName>
    <definedName name="vl_cinnosti3" localSheetId="25">OFFSET([4]FU!$Q$3,,,COUNTIF([4]FU!$W$3:$W$992,"?*"))</definedName>
    <definedName name="vl_cinnosti3" localSheetId="2">OFFSET([6]FU!$Q$3,,,COUNTIF([6]FU!$W$3:$W$992,"?*"))</definedName>
    <definedName name="vl_cinnosti3" localSheetId="28">OFFSET([1]FU!$Q$3,,,COUNTIF([1]FU!$W$3:$W$992,"?*"))</definedName>
    <definedName name="vl_cinnosti3">OFFSET(FU!$Q$3,,,COUNTIF(FU!$W$3:$W$992,"?*"))</definedName>
    <definedName name="vl_cinnosti4" localSheetId="14">OFFSET([1]FU!$Q$3,,,COUNTIF([1]FU!$Z$3:$Z$992,"?*"))</definedName>
    <definedName name="vl_cinnosti4" localSheetId="19">OFFSET([2]FU!$Q$3,,,COUNTIF([2]FU!$Z$3:$Z$992,"?*"))</definedName>
    <definedName name="vl_cinnosti4" localSheetId="20">OFFSET([2]FU!$Q$3,,,COUNTIF([2]FU!$Z$3:$Z$992,"?*"))</definedName>
    <definedName name="vl_cinnosti4" localSheetId="18">OFFSET([3]FU!$Q$3,,,COUNTIF([3]FU!$Z$3:$Z$992,"?*"))</definedName>
    <definedName name="vl_cinnosti4" localSheetId="25">OFFSET([4]FU!$Q$3,,,COUNTIF([4]FU!$Z$3:$Z$992,"?*"))</definedName>
    <definedName name="vl_cinnosti4" localSheetId="2">OFFSET([6]FU!$Q$3,,,COUNTIF([6]FU!$Z$3:$Z$992,"?*"))</definedName>
    <definedName name="vl_cinnosti4" localSheetId="28">OFFSET([1]FU!$Q$3,,,COUNTIF([1]FU!$Z$3:$Z$992,"?*"))</definedName>
    <definedName name="vl_cinnosti4">OFFSET(FU!$Q$3,,,COUNTIF(FU!$Z$3:$Z$992,"?*"))</definedName>
    <definedName name="VL_Obec">OFFSET([9]FU!$T$3,,,COUNTIF([9]FU!$T$3:$T$6255,"?*"))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2" i="38" l="1"/>
  <c r="F9" i="38"/>
  <c r="F8" i="38"/>
  <c r="P14" i="73"/>
  <c r="A19" i="80"/>
  <c r="D43" i="31" l="1"/>
  <c r="B41" i="62"/>
  <c r="B77" i="62"/>
  <c r="B61" i="62"/>
  <c r="B60" i="62"/>
  <c r="B59" i="62"/>
  <c r="B58" i="62"/>
  <c r="AB121" i="62" l="1"/>
  <c r="N75" i="62"/>
  <c r="J61" i="62"/>
  <c r="J54" i="62"/>
  <c r="J53" i="62"/>
  <c r="N12" i="62" l="1"/>
  <c r="B80" i="62"/>
  <c r="K13" i="79" l="1"/>
  <c r="K21" i="31" s="1"/>
  <c r="J13" i="79"/>
  <c r="J21" i="31" s="1"/>
  <c r="I13" i="79"/>
  <c r="H13" i="79"/>
  <c r="G13" i="79"/>
  <c r="F13" i="79"/>
  <c r="F30" i="38" l="1"/>
  <c r="N77" i="62" s="1"/>
  <c r="E3" i="31"/>
  <c r="A17" i="76"/>
  <c r="Y14" i="73" l="1"/>
  <c r="A17" i="75"/>
  <c r="AG17" i="75" l="1"/>
  <c r="A58" i="76"/>
  <c r="N35" i="76"/>
  <c r="N37" i="76" s="1"/>
  <c r="I41" i="76"/>
  <c r="A58" i="75"/>
  <c r="N35" i="75"/>
  <c r="I41" i="75"/>
  <c r="P48" i="73"/>
  <c r="H48" i="73"/>
  <c r="A69" i="73" l="1"/>
  <c r="C3" i="78" l="1"/>
  <c r="A51" i="78"/>
  <c r="C6" i="78"/>
  <c r="E5" i="67"/>
  <c r="B5" i="67"/>
  <c r="A21" i="77"/>
  <c r="F18" i="66"/>
  <c r="A18" i="66"/>
  <c r="A20" i="66"/>
  <c r="A9" i="78" l="1"/>
  <c r="F18" i="77"/>
  <c r="F14" i="77"/>
  <c r="F13" i="77"/>
  <c r="F10" i="38"/>
  <c r="M4" i="30"/>
  <c r="E4" i="30" s="1"/>
  <c r="F11" i="38" l="1"/>
  <c r="N78" i="62" s="1"/>
  <c r="N76" i="62"/>
  <c r="F15" i="77"/>
  <c r="F19" i="77" s="1"/>
  <c r="D26" i="31" s="1"/>
  <c r="A11" i="78"/>
  <c r="A14" i="78"/>
  <c r="A12" i="78" l="1"/>
  <c r="A13" i="78"/>
  <c r="A15" i="78"/>
  <c r="A21" i="78"/>
  <c r="A16" i="78"/>
  <c r="AE22" i="73"/>
  <c r="AH40" i="73" s="1"/>
  <c r="AE20" i="73"/>
  <c r="AH38" i="73" s="1"/>
  <c r="A19" i="75"/>
  <c r="AK15" i="75"/>
  <c r="H15" i="75"/>
  <c r="A15" i="75"/>
  <c r="Y13" i="75"/>
  <c r="A13" i="75"/>
  <c r="AN11" i="75"/>
  <c r="Y11" i="75"/>
  <c r="A11" i="75"/>
  <c r="A19" i="76"/>
  <c r="AG17" i="76"/>
  <c r="AK15" i="76"/>
  <c r="H15" i="76"/>
  <c r="A15" i="76"/>
  <c r="Y13" i="76"/>
  <c r="A13" i="76"/>
  <c r="AN11" i="76"/>
  <c r="Y11" i="76"/>
  <c r="A11" i="76"/>
  <c r="Q54" i="76"/>
  <c r="Q54" i="75"/>
  <c r="A18" i="78" l="1"/>
  <c r="A17" i="78"/>
  <c r="A22" i="78"/>
  <c r="A28" i="78"/>
  <c r="A23" i="78"/>
  <c r="A19" i="78" l="1"/>
  <c r="A20" i="78"/>
  <c r="A25" i="78"/>
  <c r="A24" i="78"/>
  <c r="A29" i="78"/>
  <c r="A35" i="78"/>
  <c r="A30" i="78"/>
  <c r="A32" i="78" l="1"/>
  <c r="A31" i="78"/>
  <c r="A36" i="78"/>
  <c r="A42" i="78"/>
  <c r="A43" i="78" s="1"/>
  <c r="A37" i="78"/>
  <c r="A26" i="78"/>
  <c r="A27" i="78"/>
  <c r="A39" i="78" l="1"/>
  <c r="A38" i="78"/>
  <c r="A33" i="78"/>
  <c r="A34" i="78"/>
  <c r="W20" i="74"/>
  <c r="M20" i="74"/>
  <c r="H20" i="74"/>
  <c r="A61" i="74"/>
  <c r="AB41" i="74"/>
  <c r="M41" i="74"/>
  <c r="A41" i="74"/>
  <c r="A12" i="73"/>
  <c r="Q10" i="73"/>
  <c r="U6" i="73"/>
  <c r="A6" i="73"/>
  <c r="A56" i="74"/>
  <c r="P44" i="73"/>
  <c r="P46" i="73" s="1"/>
  <c r="H44" i="73"/>
  <c r="AT40" i="73"/>
  <c r="AS40" i="73"/>
  <c r="AR40" i="73"/>
  <c r="AQ40" i="73"/>
  <c r="AP40" i="73"/>
  <c r="AO40" i="73"/>
  <c r="AN40" i="73"/>
  <c r="AM40" i="73"/>
  <c r="AL40" i="73"/>
  <c r="AK40" i="73"/>
  <c r="AJ40" i="73"/>
  <c r="AI40" i="73"/>
  <c r="AT38" i="73"/>
  <c r="AS38" i="73"/>
  <c r="AR38" i="73"/>
  <c r="AQ38" i="73"/>
  <c r="AP38" i="73"/>
  <c r="AO38" i="73"/>
  <c r="AN38" i="73"/>
  <c r="AM38" i="73"/>
  <c r="AL38" i="73"/>
  <c r="AK38" i="73"/>
  <c r="AJ38" i="73"/>
  <c r="AI38" i="73"/>
  <c r="AU38" i="73"/>
  <c r="P38" i="73" s="1"/>
  <c r="AB43" i="74" l="1"/>
  <c r="R43" i="74"/>
  <c r="M43" i="74"/>
  <c r="AG43" i="74"/>
  <c r="A43" i="74"/>
  <c r="AU40" i="73"/>
  <c r="U38" i="73" s="1"/>
  <c r="U40" i="73" s="1"/>
  <c r="A40" i="78"/>
  <c r="A41" i="78"/>
  <c r="A57" i="75"/>
  <c r="A57" i="76"/>
  <c r="R13" i="69"/>
  <c r="R14" i="68"/>
  <c r="K13" i="69"/>
  <c r="K14" i="68"/>
  <c r="A8" i="68"/>
  <c r="A7" i="69"/>
  <c r="R8" i="68"/>
  <c r="R7" i="69"/>
  <c r="P40" i="73"/>
  <c r="C59" i="32" l="1"/>
  <c r="G12" i="35" l="1"/>
  <c r="AS179" i="62" l="1"/>
  <c r="AT179" i="62"/>
  <c r="AS180" i="62"/>
  <c r="AT180" i="62"/>
  <c r="AS181" i="62"/>
  <c r="AT181" i="62"/>
  <c r="AS182" i="62"/>
  <c r="AT182" i="62"/>
  <c r="AS183" i="62"/>
  <c r="AT183" i="62"/>
  <c r="AS184" i="62"/>
  <c r="AT184" i="62"/>
  <c r="AS185" i="62"/>
  <c r="AT185" i="62"/>
  <c r="AS186" i="62"/>
  <c r="AT186" i="62"/>
  <c r="AS187" i="62"/>
  <c r="AT187" i="62"/>
  <c r="AS188" i="62"/>
  <c r="AT188" i="62"/>
  <c r="AS189" i="62"/>
  <c r="AT189" i="62"/>
  <c r="AS190" i="62"/>
  <c r="AT190" i="62"/>
  <c r="AS191" i="62"/>
  <c r="AT191" i="62"/>
  <c r="AS192" i="62"/>
  <c r="AT192" i="62"/>
  <c r="AS193" i="62"/>
  <c r="AT193" i="62"/>
  <c r="AS194" i="62"/>
  <c r="AT194" i="62"/>
  <c r="AS195" i="62"/>
  <c r="AT195" i="62"/>
  <c r="AS196" i="62"/>
  <c r="AT196" i="62"/>
  <c r="AS197" i="62"/>
  <c r="AT197" i="62"/>
  <c r="AS198" i="62"/>
  <c r="AT198" i="62"/>
  <c r="AS199" i="62"/>
  <c r="AT199" i="62"/>
  <c r="AS200" i="62"/>
  <c r="AT200" i="62"/>
  <c r="AS201" i="62"/>
  <c r="AT201" i="62"/>
  <c r="AS202" i="62"/>
  <c r="AT202" i="62"/>
  <c r="AS203" i="62"/>
  <c r="AT203" i="62"/>
  <c r="AS204" i="62"/>
  <c r="AT204" i="62"/>
  <c r="AS205" i="62"/>
  <c r="AT205" i="62"/>
  <c r="AS206" i="62"/>
  <c r="AT206" i="62"/>
  <c r="AS207" i="62"/>
  <c r="AT207" i="62"/>
  <c r="AS208" i="62"/>
  <c r="AT208" i="62"/>
  <c r="AS209" i="62"/>
  <c r="AT209" i="62"/>
  <c r="AS210" i="62"/>
  <c r="AT210" i="62"/>
  <c r="AS211" i="62"/>
  <c r="AT211" i="62"/>
  <c r="AS212" i="62"/>
  <c r="AT212" i="62"/>
  <c r="AS213" i="62"/>
  <c r="AT213" i="62"/>
  <c r="AS214" i="62"/>
  <c r="AT214" i="62"/>
  <c r="AS215" i="62"/>
  <c r="AT215" i="62"/>
  <c r="AS216" i="62"/>
  <c r="AT216" i="62"/>
  <c r="AS217" i="62"/>
  <c r="AT217" i="62"/>
  <c r="AS218" i="62"/>
  <c r="AT218" i="62"/>
  <c r="AS219" i="62"/>
  <c r="AT219" i="62"/>
  <c r="AS220" i="62"/>
  <c r="AT220" i="62"/>
  <c r="AS221" i="62"/>
  <c r="AT221" i="62"/>
  <c r="AS222" i="62"/>
  <c r="AT222" i="62"/>
  <c r="AS223" i="62"/>
  <c r="AT223" i="62"/>
  <c r="AS224" i="62"/>
  <c r="AT224" i="62"/>
  <c r="AS225" i="62"/>
  <c r="AT225" i="62"/>
  <c r="AS226" i="62"/>
  <c r="AT226" i="62"/>
  <c r="AS227" i="62"/>
  <c r="AT227" i="62"/>
  <c r="AS228" i="62"/>
  <c r="AT228" i="62"/>
  <c r="AS229" i="62"/>
  <c r="AT229" i="62"/>
  <c r="AS230" i="62"/>
  <c r="AT230" i="62"/>
  <c r="AS231" i="62"/>
  <c r="AT231" i="62"/>
  <c r="AS232" i="62"/>
  <c r="AT232" i="62"/>
  <c r="AS233" i="62"/>
  <c r="AT233" i="62"/>
  <c r="AS234" i="62"/>
  <c r="AT234" i="62"/>
  <c r="AS235" i="62"/>
  <c r="AT235" i="62"/>
  <c r="AS236" i="62"/>
  <c r="AT236" i="62"/>
  <c r="AS237" i="62"/>
  <c r="AT237" i="62"/>
  <c r="AS238" i="62"/>
  <c r="AT238" i="62"/>
  <c r="AS239" i="62"/>
  <c r="AT239" i="62"/>
  <c r="AS240" i="62"/>
  <c r="AT240" i="62"/>
  <c r="AS241" i="62"/>
  <c r="AT241" i="62"/>
  <c r="AS242" i="62"/>
  <c r="AT242" i="62"/>
  <c r="AS243" i="62"/>
  <c r="AT243" i="62"/>
  <c r="AS244" i="62"/>
  <c r="AT244" i="62"/>
  <c r="AS245" i="62"/>
  <c r="AT245" i="62"/>
  <c r="AT178" i="62"/>
  <c r="AS178" i="62"/>
  <c r="T179" i="62"/>
  <c r="U179" i="62"/>
  <c r="V179" i="62"/>
  <c r="W179" i="62"/>
  <c r="T180" i="62"/>
  <c r="U180" i="62"/>
  <c r="V180" i="62"/>
  <c r="W180" i="62"/>
  <c r="T181" i="62"/>
  <c r="U181" i="62"/>
  <c r="V181" i="62"/>
  <c r="W181" i="62"/>
  <c r="T182" i="62"/>
  <c r="U182" i="62"/>
  <c r="V182" i="62"/>
  <c r="W182" i="62"/>
  <c r="T183" i="62"/>
  <c r="U183" i="62"/>
  <c r="V183" i="62"/>
  <c r="W183" i="62"/>
  <c r="T184" i="62"/>
  <c r="U184" i="62"/>
  <c r="V184" i="62"/>
  <c r="W184" i="62"/>
  <c r="T185" i="62"/>
  <c r="U185" i="62"/>
  <c r="V185" i="62"/>
  <c r="W185" i="62"/>
  <c r="T186" i="62"/>
  <c r="U186" i="62"/>
  <c r="V186" i="62"/>
  <c r="W186" i="62"/>
  <c r="T187" i="62"/>
  <c r="U187" i="62"/>
  <c r="V187" i="62"/>
  <c r="W187" i="62"/>
  <c r="T188" i="62"/>
  <c r="U188" i="62"/>
  <c r="V188" i="62"/>
  <c r="W188" i="62"/>
  <c r="T189" i="62"/>
  <c r="U189" i="62"/>
  <c r="V189" i="62"/>
  <c r="W189" i="62"/>
  <c r="T190" i="62"/>
  <c r="U190" i="62"/>
  <c r="V190" i="62"/>
  <c r="W190" i="62"/>
  <c r="T191" i="62"/>
  <c r="U191" i="62"/>
  <c r="V191" i="62"/>
  <c r="W191" i="62"/>
  <c r="T192" i="62"/>
  <c r="U192" i="62"/>
  <c r="V192" i="62"/>
  <c r="W192" i="62"/>
  <c r="T193" i="62"/>
  <c r="U193" i="62"/>
  <c r="V193" i="62"/>
  <c r="W193" i="62"/>
  <c r="T194" i="62"/>
  <c r="U194" i="62"/>
  <c r="V194" i="62"/>
  <c r="W194" i="62"/>
  <c r="T195" i="62"/>
  <c r="U195" i="62"/>
  <c r="V195" i="62"/>
  <c r="W195" i="62"/>
  <c r="T196" i="62"/>
  <c r="U196" i="62"/>
  <c r="V196" i="62"/>
  <c r="W196" i="62"/>
  <c r="T197" i="62"/>
  <c r="U197" i="62"/>
  <c r="V197" i="62"/>
  <c r="W197" i="62"/>
  <c r="T198" i="62"/>
  <c r="U198" i="62"/>
  <c r="V198" i="62"/>
  <c r="W198" i="62"/>
  <c r="T199" i="62"/>
  <c r="U199" i="62"/>
  <c r="V199" i="62"/>
  <c r="W199" i="62"/>
  <c r="T200" i="62"/>
  <c r="U200" i="62"/>
  <c r="V200" i="62"/>
  <c r="W200" i="62"/>
  <c r="T201" i="62"/>
  <c r="U201" i="62"/>
  <c r="V201" i="62"/>
  <c r="W201" i="62"/>
  <c r="T202" i="62"/>
  <c r="U202" i="62"/>
  <c r="V202" i="62"/>
  <c r="W202" i="62"/>
  <c r="T203" i="62"/>
  <c r="U203" i="62"/>
  <c r="V203" i="62"/>
  <c r="W203" i="62"/>
  <c r="T204" i="62"/>
  <c r="U204" i="62"/>
  <c r="V204" i="62"/>
  <c r="W204" i="62"/>
  <c r="T205" i="62"/>
  <c r="U205" i="62"/>
  <c r="V205" i="62"/>
  <c r="W205" i="62"/>
  <c r="T206" i="62"/>
  <c r="U206" i="62"/>
  <c r="V206" i="62"/>
  <c r="W206" i="62"/>
  <c r="T207" i="62"/>
  <c r="U207" i="62"/>
  <c r="V207" i="62"/>
  <c r="W207" i="62"/>
  <c r="T208" i="62"/>
  <c r="U208" i="62"/>
  <c r="V208" i="62"/>
  <c r="W208" i="62"/>
  <c r="T209" i="62"/>
  <c r="U209" i="62"/>
  <c r="V209" i="62"/>
  <c r="W209" i="62"/>
  <c r="T210" i="62"/>
  <c r="U210" i="62"/>
  <c r="V210" i="62"/>
  <c r="W210" i="62"/>
  <c r="T211" i="62"/>
  <c r="U211" i="62"/>
  <c r="V211" i="62"/>
  <c r="W211" i="62"/>
  <c r="T212" i="62"/>
  <c r="U212" i="62"/>
  <c r="V212" i="62"/>
  <c r="W212" i="62"/>
  <c r="T213" i="62"/>
  <c r="U213" i="62"/>
  <c r="V213" i="62"/>
  <c r="W213" i="62"/>
  <c r="T214" i="62"/>
  <c r="U214" i="62"/>
  <c r="V214" i="62"/>
  <c r="W214" i="62"/>
  <c r="T215" i="62"/>
  <c r="U215" i="62"/>
  <c r="V215" i="62"/>
  <c r="W215" i="62"/>
  <c r="T216" i="62"/>
  <c r="U216" i="62"/>
  <c r="V216" i="62"/>
  <c r="W216" i="62"/>
  <c r="T217" i="62"/>
  <c r="U217" i="62"/>
  <c r="V217" i="62"/>
  <c r="W217" i="62"/>
  <c r="T218" i="62"/>
  <c r="U218" i="62"/>
  <c r="V218" i="62"/>
  <c r="W218" i="62"/>
  <c r="T219" i="62"/>
  <c r="U219" i="62"/>
  <c r="V219" i="62"/>
  <c r="W219" i="62"/>
  <c r="T220" i="62"/>
  <c r="U220" i="62"/>
  <c r="V220" i="62"/>
  <c r="W220" i="62"/>
  <c r="T221" i="62"/>
  <c r="U221" i="62"/>
  <c r="V221" i="62"/>
  <c r="W221" i="62"/>
  <c r="T222" i="62"/>
  <c r="U222" i="62"/>
  <c r="V222" i="62"/>
  <c r="W222" i="62"/>
  <c r="T223" i="62"/>
  <c r="U223" i="62"/>
  <c r="V223" i="62"/>
  <c r="W223" i="62"/>
  <c r="T224" i="62"/>
  <c r="U224" i="62"/>
  <c r="V224" i="62"/>
  <c r="W224" i="62"/>
  <c r="T225" i="62"/>
  <c r="U225" i="62"/>
  <c r="V225" i="62"/>
  <c r="W225" i="62"/>
  <c r="T226" i="62"/>
  <c r="U226" i="62"/>
  <c r="V226" i="62"/>
  <c r="W226" i="62"/>
  <c r="T227" i="62"/>
  <c r="U227" i="62"/>
  <c r="V227" i="62"/>
  <c r="W227" i="62"/>
  <c r="T228" i="62"/>
  <c r="U228" i="62"/>
  <c r="V228" i="62"/>
  <c r="W228" i="62"/>
  <c r="T229" i="62"/>
  <c r="U229" i="62"/>
  <c r="V229" i="62"/>
  <c r="W229" i="62"/>
  <c r="T230" i="62"/>
  <c r="U230" i="62"/>
  <c r="V230" i="62"/>
  <c r="W230" i="62"/>
  <c r="T231" i="62"/>
  <c r="U231" i="62"/>
  <c r="V231" i="62"/>
  <c r="W231" i="62"/>
  <c r="T232" i="62"/>
  <c r="U232" i="62"/>
  <c r="V232" i="62"/>
  <c r="W232" i="62"/>
  <c r="T233" i="62"/>
  <c r="U233" i="62"/>
  <c r="V233" i="62"/>
  <c r="W233" i="62"/>
  <c r="T234" i="62"/>
  <c r="U234" i="62"/>
  <c r="V234" i="62"/>
  <c r="W234" i="62"/>
  <c r="T235" i="62"/>
  <c r="U235" i="62"/>
  <c r="V235" i="62"/>
  <c r="W235" i="62"/>
  <c r="T236" i="62"/>
  <c r="U236" i="62"/>
  <c r="V236" i="62"/>
  <c r="W236" i="62"/>
  <c r="T237" i="62"/>
  <c r="U237" i="62"/>
  <c r="V237" i="62"/>
  <c r="W237" i="62"/>
  <c r="T238" i="62"/>
  <c r="U238" i="62"/>
  <c r="V238" i="62"/>
  <c r="W238" i="62"/>
  <c r="T239" i="62"/>
  <c r="U239" i="62"/>
  <c r="V239" i="62"/>
  <c r="W239" i="62"/>
  <c r="T240" i="62"/>
  <c r="U240" i="62"/>
  <c r="V240" i="62"/>
  <c r="W240" i="62"/>
  <c r="T241" i="62"/>
  <c r="U241" i="62"/>
  <c r="V241" i="62"/>
  <c r="W241" i="62"/>
  <c r="T242" i="62"/>
  <c r="U242" i="62"/>
  <c r="V242" i="62"/>
  <c r="W242" i="62"/>
  <c r="T243" i="62"/>
  <c r="U243" i="62"/>
  <c r="V243" i="62"/>
  <c r="W243" i="62"/>
  <c r="T244" i="62"/>
  <c r="U244" i="62"/>
  <c r="V244" i="62"/>
  <c r="W244" i="62"/>
  <c r="T245" i="62"/>
  <c r="U245" i="62"/>
  <c r="V245" i="62"/>
  <c r="W245" i="62"/>
  <c r="T246" i="62"/>
  <c r="U246" i="62"/>
  <c r="V246" i="62"/>
  <c r="W246" i="62"/>
  <c r="T247" i="62"/>
  <c r="U247" i="62"/>
  <c r="V247" i="62"/>
  <c r="W247" i="62"/>
  <c r="T248" i="62"/>
  <c r="U248" i="62"/>
  <c r="V248" i="62"/>
  <c r="W248" i="62"/>
  <c r="T249" i="62"/>
  <c r="U249" i="62"/>
  <c r="V249" i="62"/>
  <c r="W249" i="62"/>
  <c r="T250" i="62"/>
  <c r="U250" i="62"/>
  <c r="V250" i="62"/>
  <c r="W250" i="62"/>
  <c r="T251" i="62"/>
  <c r="U251" i="62"/>
  <c r="V251" i="62"/>
  <c r="W251" i="62"/>
  <c r="T252" i="62"/>
  <c r="U252" i="62"/>
  <c r="V252" i="62"/>
  <c r="W252" i="62"/>
  <c r="T253" i="62"/>
  <c r="U253" i="62"/>
  <c r="V253" i="62"/>
  <c r="W253" i="62"/>
  <c r="T254" i="62"/>
  <c r="U254" i="62"/>
  <c r="V254" i="62"/>
  <c r="W254" i="62"/>
  <c r="T255" i="62"/>
  <c r="U255" i="62"/>
  <c r="V255" i="62"/>
  <c r="W255" i="62"/>
  <c r="T256" i="62"/>
  <c r="U256" i="62"/>
  <c r="V256" i="62"/>
  <c r="W256" i="62"/>
  <c r="T257" i="62"/>
  <c r="U257" i="62"/>
  <c r="V257" i="62"/>
  <c r="W257" i="62"/>
  <c r="T258" i="62"/>
  <c r="U258" i="62"/>
  <c r="V258" i="62"/>
  <c r="W258" i="62"/>
  <c r="W178" i="62"/>
  <c r="V178" i="62"/>
  <c r="U178" i="62"/>
  <c r="T178" i="62"/>
  <c r="AE179" i="62" l="1"/>
  <c r="AE180" i="62"/>
  <c r="AE181" i="62"/>
  <c r="AE182" i="62"/>
  <c r="AE183" i="62"/>
  <c r="AE184" i="62"/>
  <c r="AE185" i="62"/>
  <c r="AE186" i="62"/>
  <c r="AE187" i="62"/>
  <c r="AE188" i="62"/>
  <c r="AE189" i="62"/>
  <c r="AE190" i="62"/>
  <c r="AE191" i="62"/>
  <c r="AE192" i="62"/>
  <c r="AE193" i="62"/>
  <c r="AE194" i="62"/>
  <c r="AE195" i="62"/>
  <c r="AE196" i="62"/>
  <c r="AE197" i="62"/>
  <c r="AE198" i="62"/>
  <c r="AE199" i="62"/>
  <c r="AE200" i="62"/>
  <c r="AE201" i="62"/>
  <c r="AE202" i="62"/>
  <c r="AE203" i="62"/>
  <c r="AE204" i="62"/>
  <c r="AE205" i="62"/>
  <c r="AE206" i="62"/>
  <c r="AE207" i="62"/>
  <c r="AE208" i="62"/>
  <c r="AE209" i="62"/>
  <c r="AE210" i="62"/>
  <c r="AE211" i="62"/>
  <c r="AE212" i="62"/>
  <c r="AE213" i="62"/>
  <c r="AE214" i="62"/>
  <c r="AE215" i="62"/>
  <c r="AE216" i="62"/>
  <c r="AE217" i="62"/>
  <c r="AE218" i="62"/>
  <c r="AE219" i="62"/>
  <c r="AE220" i="62"/>
  <c r="AE221" i="62"/>
  <c r="AE222" i="62"/>
  <c r="AE223" i="62"/>
  <c r="AE224" i="62"/>
  <c r="AE225" i="62"/>
  <c r="AE226" i="62"/>
  <c r="AE227" i="62"/>
  <c r="AE228" i="62"/>
  <c r="AE229" i="62"/>
  <c r="AE230" i="62"/>
  <c r="AE231" i="62"/>
  <c r="AE232" i="62"/>
  <c r="AE233" i="62"/>
  <c r="AE178" i="62"/>
  <c r="AD178" i="62"/>
  <c r="AD179" i="62"/>
  <c r="AD180" i="62"/>
  <c r="AD181" i="62"/>
  <c r="AD182" i="62"/>
  <c r="AD183" i="62"/>
  <c r="AD184" i="62"/>
  <c r="AD185" i="62"/>
  <c r="AD186" i="62"/>
  <c r="AD187" i="62"/>
  <c r="AD188" i="62"/>
  <c r="AD189" i="62"/>
  <c r="AD190" i="62"/>
  <c r="AD191" i="62"/>
  <c r="AD192" i="62"/>
  <c r="AD193" i="62"/>
  <c r="AD194" i="62"/>
  <c r="AD195" i="62"/>
  <c r="AD196" i="62"/>
  <c r="AD197" i="62"/>
  <c r="AD198" i="62"/>
  <c r="AD199" i="62"/>
  <c r="AD200" i="62"/>
  <c r="AD201" i="62"/>
  <c r="AD202" i="62"/>
  <c r="AD203" i="62"/>
  <c r="AD204" i="62"/>
  <c r="AD205" i="62"/>
  <c r="AD206" i="62"/>
  <c r="AD207" i="62"/>
  <c r="AD208" i="62"/>
  <c r="AD209" i="62"/>
  <c r="AD210" i="62"/>
  <c r="AD211" i="62"/>
  <c r="AD212" i="62"/>
  <c r="AD213" i="62"/>
  <c r="AD214" i="62"/>
  <c r="AD215" i="62"/>
  <c r="AD216" i="62"/>
  <c r="AD217" i="62"/>
  <c r="AD218" i="62"/>
  <c r="AD219" i="62"/>
  <c r="AD220" i="62"/>
  <c r="AD221" i="62"/>
  <c r="AD222" i="62"/>
  <c r="AD223" i="62"/>
  <c r="AD224" i="62"/>
  <c r="AD225" i="62"/>
  <c r="AD226" i="62"/>
  <c r="AD227" i="62"/>
  <c r="AD228" i="62"/>
  <c r="AD229" i="62"/>
  <c r="AD230" i="62"/>
  <c r="AD231" i="62"/>
  <c r="AD232" i="62"/>
  <c r="AD233" i="62"/>
  <c r="AQ244" i="62"/>
  <c r="AQ245" i="62"/>
  <c r="AB234" i="62" l="1"/>
  <c r="AB235" i="62"/>
  <c r="AB236" i="62"/>
  <c r="AB237" i="62"/>
  <c r="R255" i="62"/>
  <c r="R256" i="62"/>
  <c r="R257" i="62"/>
  <c r="R258" i="62"/>
  <c r="E4" i="31" l="1"/>
  <c r="J78" i="62" l="1"/>
  <c r="N59" i="62"/>
  <c r="L26" i="30" l="1"/>
  <c r="L24" i="30"/>
  <c r="L23" i="30"/>
  <c r="L22" i="30"/>
  <c r="D19" i="69" l="1"/>
  <c r="D12" i="70" l="1"/>
  <c r="C8" i="70"/>
  <c r="B20" i="70"/>
  <c r="M7" i="30" l="1"/>
  <c r="D46" i="31" s="1"/>
  <c r="B43" i="62" s="1"/>
  <c r="M6" i="30"/>
  <c r="M5" i="30"/>
  <c r="D40" i="31" s="1"/>
  <c r="H54" i="73" l="1"/>
  <c r="E7" i="30"/>
  <c r="L25" i="30"/>
  <c r="A15" i="70"/>
  <c r="C17" i="67" l="1"/>
  <c r="C16" i="67"/>
  <c r="C15" i="67"/>
  <c r="B17" i="67"/>
  <c r="B16" i="67"/>
  <c r="B15" i="67"/>
  <c r="B30" i="66"/>
  <c r="AQ236" i="62" l="1"/>
  <c r="AQ237" i="62"/>
  <c r="AQ238" i="62"/>
  <c r="AQ239" i="62"/>
  <c r="AQ240" i="62"/>
  <c r="AQ241" i="62"/>
  <c r="AQ242" i="62"/>
  <c r="AQ243" i="62"/>
  <c r="AB178" i="62" l="1"/>
  <c r="AQ178" i="62"/>
  <c r="AB179" i="62"/>
  <c r="AB180" i="62"/>
  <c r="AB181" i="62"/>
  <c r="AB182" i="62"/>
  <c r="AB183" i="62"/>
  <c r="AB184" i="62"/>
  <c r="AB185" i="62"/>
  <c r="AB186" i="62"/>
  <c r="AB187" i="62"/>
  <c r="AB188" i="62"/>
  <c r="AB189" i="62"/>
  <c r="AB190" i="62"/>
  <c r="AB191" i="62"/>
  <c r="AB192" i="62"/>
  <c r="AB193" i="62"/>
  <c r="AB194" i="62"/>
  <c r="AB195" i="62"/>
  <c r="AB196" i="62"/>
  <c r="AB197" i="62"/>
  <c r="AB198" i="62"/>
  <c r="AB199" i="62"/>
  <c r="AB200" i="62"/>
  <c r="AB201" i="62"/>
  <c r="AB202" i="62"/>
  <c r="AB203" i="62"/>
  <c r="AB204" i="62"/>
  <c r="AB205" i="62"/>
  <c r="AB206" i="62"/>
  <c r="AB207" i="62"/>
  <c r="AB208" i="62"/>
  <c r="AB209" i="62"/>
  <c r="AB210" i="62"/>
  <c r="AB211" i="62"/>
  <c r="AB212" i="62"/>
  <c r="AB213" i="62"/>
  <c r="AB214" i="62"/>
  <c r="AB215" i="62"/>
  <c r="AB216" i="62"/>
  <c r="AB217" i="62"/>
  <c r="AB218" i="62"/>
  <c r="AB219" i="62"/>
  <c r="AB220" i="62"/>
  <c r="AB221" i="62"/>
  <c r="AB222" i="62"/>
  <c r="AB223" i="62"/>
  <c r="AB224" i="62"/>
  <c r="AB225" i="62"/>
  <c r="AB226" i="62"/>
  <c r="AB227" i="62"/>
  <c r="AB228" i="62"/>
  <c r="AB229" i="62"/>
  <c r="AB230" i="62"/>
  <c r="AB231" i="62"/>
  <c r="AB232" i="62"/>
  <c r="AB233" i="62"/>
  <c r="AQ179" i="62"/>
  <c r="AQ180" i="62"/>
  <c r="AQ181" i="62"/>
  <c r="AQ182" i="62"/>
  <c r="AQ183" i="62"/>
  <c r="AQ184" i="62"/>
  <c r="AQ185" i="62"/>
  <c r="AQ186" i="62"/>
  <c r="AQ187" i="62"/>
  <c r="AQ188" i="62"/>
  <c r="AQ189" i="62"/>
  <c r="AQ190" i="62"/>
  <c r="AQ191" i="62"/>
  <c r="AQ192" i="62"/>
  <c r="AQ193" i="62"/>
  <c r="AQ194" i="62"/>
  <c r="AQ195" i="62"/>
  <c r="AQ196" i="62"/>
  <c r="AQ197" i="62"/>
  <c r="AQ198" i="62"/>
  <c r="AQ199" i="62"/>
  <c r="AQ200" i="62"/>
  <c r="AQ201" i="62"/>
  <c r="AQ202" i="62"/>
  <c r="AQ203" i="62"/>
  <c r="AQ204" i="62"/>
  <c r="AQ205" i="62"/>
  <c r="AQ206" i="62"/>
  <c r="AQ207" i="62"/>
  <c r="AQ208" i="62"/>
  <c r="AQ209" i="62"/>
  <c r="AQ210" i="62"/>
  <c r="AQ211" i="62"/>
  <c r="AQ212" i="62"/>
  <c r="AQ213" i="62"/>
  <c r="AQ214" i="62"/>
  <c r="AQ215" i="62"/>
  <c r="AQ216" i="62"/>
  <c r="AQ217" i="62"/>
  <c r="AQ218" i="62"/>
  <c r="AQ219" i="62"/>
  <c r="AQ220" i="62"/>
  <c r="AQ221" i="62"/>
  <c r="AQ222" i="62"/>
  <c r="AQ223" i="62"/>
  <c r="AQ224" i="62"/>
  <c r="AQ225" i="62"/>
  <c r="AQ226" i="62"/>
  <c r="AQ227" i="62"/>
  <c r="AQ228" i="62"/>
  <c r="AQ229" i="62"/>
  <c r="AQ230" i="62"/>
  <c r="AQ231" i="62"/>
  <c r="AQ232" i="62"/>
  <c r="AQ233" i="62"/>
  <c r="AQ234" i="62"/>
  <c r="AQ235" i="62"/>
  <c r="B38" i="62"/>
  <c r="B79" i="62"/>
  <c r="R244" i="62"/>
  <c r="R245" i="62"/>
  <c r="R246" i="62"/>
  <c r="R247" i="62"/>
  <c r="R248" i="62"/>
  <c r="R249" i="62"/>
  <c r="R250" i="62"/>
  <c r="R251" i="62"/>
  <c r="R252" i="62"/>
  <c r="R253" i="62"/>
  <c r="R254" i="62"/>
  <c r="S178" i="62" l="1"/>
  <c r="AR200" i="62"/>
  <c r="AR212" i="62"/>
  <c r="AR224" i="62"/>
  <c r="AR236" i="62"/>
  <c r="AR201" i="62"/>
  <c r="AR213" i="62"/>
  <c r="AR225" i="62"/>
  <c r="AR237" i="62"/>
  <c r="AR226" i="62"/>
  <c r="AR238" i="62"/>
  <c r="AR239" i="62"/>
  <c r="AR216" i="62"/>
  <c r="AR240" i="62"/>
  <c r="AR232" i="62"/>
  <c r="AR197" i="62"/>
  <c r="AR233" i="62"/>
  <c r="AR214" i="62"/>
  <c r="AR204" i="62"/>
  <c r="AR228" i="62"/>
  <c r="AR202" i="62"/>
  <c r="AR203" i="62"/>
  <c r="AR215" i="62"/>
  <c r="AR227" i="62"/>
  <c r="AR205" i="62"/>
  <c r="AR229" i="62"/>
  <c r="AR241" i="62"/>
  <c r="AR220" i="62"/>
  <c r="AR198" i="62"/>
  <c r="AR234" i="62"/>
  <c r="AR199" i="62"/>
  <c r="AR217" i="62"/>
  <c r="AR222" i="62"/>
  <c r="AR243" i="62"/>
  <c r="AR206" i="62"/>
  <c r="AR218" i="62"/>
  <c r="AR230" i="62"/>
  <c r="AR242" i="62"/>
  <c r="AR207" i="62"/>
  <c r="AR219" i="62"/>
  <c r="AR231" i="62"/>
  <c r="AR245" i="62"/>
  <c r="AR208" i="62"/>
  <c r="AR244" i="62"/>
  <c r="AR209" i="62"/>
  <c r="AR211" i="62"/>
  <c r="AR221" i="62"/>
  <c r="AR223" i="62"/>
  <c r="AR210" i="62"/>
  <c r="AR235" i="62"/>
  <c r="AC178" i="62"/>
  <c r="AC190" i="62"/>
  <c r="AC202" i="62"/>
  <c r="AC214" i="62"/>
  <c r="AC226" i="62"/>
  <c r="AC179" i="62"/>
  <c r="AC191" i="62"/>
  <c r="AC203" i="62"/>
  <c r="AC215" i="62"/>
  <c r="AC227" i="62"/>
  <c r="AC181" i="62"/>
  <c r="AC193" i="62"/>
  <c r="AC217" i="62"/>
  <c r="AC229" i="62"/>
  <c r="AC195" i="62"/>
  <c r="AC219" i="62"/>
  <c r="AC196" i="62"/>
  <c r="AC232" i="62"/>
  <c r="AC197" i="62"/>
  <c r="AC209" i="62"/>
  <c r="AC233" i="62"/>
  <c r="AC210" i="62"/>
  <c r="AC234" i="62"/>
  <c r="AC187" i="62"/>
  <c r="AC211" i="62"/>
  <c r="AC200" i="62"/>
  <c r="AC236" i="62"/>
  <c r="AC213" i="62"/>
  <c r="AC180" i="62"/>
  <c r="AC192" i="62"/>
  <c r="AC204" i="62"/>
  <c r="AC216" i="62"/>
  <c r="AC228" i="62"/>
  <c r="AC205" i="62"/>
  <c r="AC207" i="62"/>
  <c r="AC208" i="62"/>
  <c r="AC186" i="62"/>
  <c r="AC235" i="62"/>
  <c r="AC224" i="62"/>
  <c r="AC225" i="62"/>
  <c r="AC188" i="62"/>
  <c r="AC237" i="62"/>
  <c r="AC182" i="62"/>
  <c r="AC194" i="62"/>
  <c r="AC206" i="62"/>
  <c r="AC218" i="62"/>
  <c r="AC230" i="62"/>
  <c r="AC183" i="62"/>
  <c r="AC231" i="62"/>
  <c r="AC184" i="62"/>
  <c r="AC220" i="62"/>
  <c r="AC185" i="62"/>
  <c r="AC221" i="62"/>
  <c r="AC198" i="62"/>
  <c r="AC222" i="62"/>
  <c r="S255" i="62"/>
  <c r="AC199" i="62"/>
  <c r="AC223" i="62"/>
  <c r="AC212" i="62"/>
  <c r="S257" i="62"/>
  <c r="AC201" i="62"/>
  <c r="S256" i="62"/>
  <c r="AC189" i="62"/>
  <c r="S258" i="62"/>
  <c r="AR195" i="62"/>
  <c r="AR191" i="62"/>
  <c r="AR187" i="62"/>
  <c r="AR183" i="62"/>
  <c r="AR179" i="62"/>
  <c r="AR194" i="62"/>
  <c r="AR189" i="62"/>
  <c r="AR184" i="62"/>
  <c r="AR178" i="62"/>
  <c r="AR193" i="62"/>
  <c r="AR182" i="62"/>
  <c r="AR186" i="62"/>
  <c r="AR196" i="62"/>
  <c r="AR185" i="62"/>
  <c r="AR188" i="62"/>
  <c r="AR192" i="62"/>
  <c r="AR181" i="62"/>
  <c r="AR190" i="62"/>
  <c r="AR180" i="62"/>
  <c r="S249" i="62"/>
  <c r="S241" i="62"/>
  <c r="S233" i="62"/>
  <c r="S225" i="62"/>
  <c r="S217" i="62"/>
  <c r="S209" i="62"/>
  <c r="S201" i="62"/>
  <c r="S193" i="62"/>
  <c r="S181" i="62"/>
  <c r="S252" i="62"/>
  <c r="S248" i="62"/>
  <c r="S244" i="62"/>
  <c r="S240" i="62"/>
  <c r="S236" i="62"/>
  <c r="S232" i="62"/>
  <c r="S228" i="62"/>
  <c r="S224" i="62"/>
  <c r="S220" i="62"/>
  <c r="S216" i="62"/>
  <c r="S212" i="62"/>
  <c r="S208" i="62"/>
  <c r="S204" i="62"/>
  <c r="S200" i="62"/>
  <c r="S196" i="62"/>
  <c r="S192" i="62"/>
  <c r="S188" i="62"/>
  <c r="S184" i="62"/>
  <c r="S180" i="62"/>
  <c r="S189" i="62"/>
  <c r="S251" i="62"/>
  <c r="S247" i="62"/>
  <c r="S243" i="62"/>
  <c r="S239" i="62"/>
  <c r="S235" i="62"/>
  <c r="S231" i="62"/>
  <c r="S227" i="62"/>
  <c r="S223" i="62"/>
  <c r="S219" i="62"/>
  <c r="S215" i="62"/>
  <c r="S211" i="62"/>
  <c r="S207" i="62"/>
  <c r="S203" i="62"/>
  <c r="S199" i="62"/>
  <c r="S195" i="62"/>
  <c r="S191" i="62"/>
  <c r="S187" i="62"/>
  <c r="S183" i="62"/>
  <c r="S179" i="62"/>
  <c r="S253" i="62"/>
  <c r="S245" i="62"/>
  <c r="S237" i="62"/>
  <c r="S229" i="62"/>
  <c r="S221" i="62"/>
  <c r="S213" i="62"/>
  <c r="S205" i="62"/>
  <c r="S197" i="62"/>
  <c r="S185" i="62"/>
  <c r="S254" i="62"/>
  <c r="S250" i="62"/>
  <c r="S246" i="62"/>
  <c r="S242" i="62"/>
  <c r="S238" i="62"/>
  <c r="S234" i="62"/>
  <c r="S230" i="62"/>
  <c r="S226" i="62"/>
  <c r="S222" i="62"/>
  <c r="S218" i="62"/>
  <c r="S214" i="62"/>
  <c r="S210" i="62"/>
  <c r="S206" i="62"/>
  <c r="S202" i="62"/>
  <c r="S198" i="62"/>
  <c r="S194" i="62"/>
  <c r="S190" i="62"/>
  <c r="S186" i="62"/>
  <c r="S182" i="62"/>
  <c r="W2" i="62" l="1"/>
  <c r="W3" i="62"/>
  <c r="W4" i="62"/>
  <c r="W5" i="62"/>
  <c r="S2" i="62"/>
  <c r="S3" i="62"/>
  <c r="S4" i="62"/>
  <c r="S5" i="62"/>
  <c r="F8" i="62"/>
  <c r="F52" i="62"/>
  <c r="F51" i="62"/>
  <c r="F50" i="62"/>
  <c r="B78" i="62"/>
  <c r="D17" i="67" l="1"/>
  <c r="D16" i="67"/>
  <c r="D15" i="67"/>
  <c r="D33" i="66" l="1"/>
  <c r="D14" i="67" s="1"/>
  <c r="C33" i="66"/>
  <c r="B14" i="67" s="1"/>
  <c r="B33" i="66"/>
  <c r="C14" i="67" s="1"/>
  <c r="D32" i="66"/>
  <c r="D13" i="67" s="1"/>
  <c r="C32" i="66"/>
  <c r="B13" i="67" s="1"/>
  <c r="B32" i="66"/>
  <c r="C13" i="67" s="1"/>
  <c r="D31" i="66"/>
  <c r="D12" i="67" s="1"/>
  <c r="C31" i="66"/>
  <c r="B12" i="67" s="1"/>
  <c r="B31" i="66"/>
  <c r="C12" i="67" s="1"/>
  <c r="C30" i="66"/>
  <c r="B11" i="67" s="1"/>
  <c r="C11" i="67"/>
  <c r="G24" i="66"/>
  <c r="E20" i="66"/>
  <c r="F15" i="66"/>
  <c r="B27" i="66" s="1"/>
  <c r="C25" i="69" l="1"/>
  <c r="C26" i="68"/>
  <c r="G20" i="68"/>
  <c r="F28" i="35" l="1"/>
  <c r="D28" i="35"/>
  <c r="H32" i="1"/>
  <c r="B7" i="67" l="1"/>
  <c r="B10" i="70" s="1"/>
  <c r="D30" i="66"/>
  <c r="D11" i="67" s="1"/>
  <c r="B20" i="67" l="1"/>
  <c r="F45" i="66"/>
  <c r="N55" i="62" l="1"/>
  <c r="A30" i="33" l="1"/>
  <c r="H29" i="1" l="1"/>
  <c r="K32" i="1"/>
  <c r="D14" i="73" s="1"/>
  <c r="R61" i="62" l="1"/>
  <c r="R62" i="62"/>
  <c r="R63" i="62"/>
  <c r="T71" i="62"/>
  <c r="T72" i="62"/>
  <c r="R2" i="62"/>
  <c r="R3" i="62"/>
  <c r="R4" i="62"/>
  <c r="R5" i="62"/>
  <c r="R71" i="62" l="1"/>
  <c r="R72" i="62"/>
  <c r="R91" i="62" l="1"/>
  <c r="R81" i="62"/>
  <c r="T81" i="62"/>
  <c r="J52" i="62" l="1"/>
  <c r="AA2" i="62" l="1"/>
  <c r="AA3" i="62"/>
  <c r="AA4" i="62"/>
  <c r="AA5" i="62"/>
  <c r="Z2" i="62"/>
  <c r="Z3" i="62"/>
  <c r="Z4" i="62"/>
  <c r="Z5" i="62"/>
  <c r="Y2" i="62"/>
  <c r="Y3" i="62"/>
  <c r="Y4" i="62"/>
  <c r="Y5" i="62"/>
  <c r="X2" i="62"/>
  <c r="X3" i="62"/>
  <c r="X4" i="62"/>
  <c r="X5" i="62"/>
  <c r="V2" i="62"/>
  <c r="V3" i="62"/>
  <c r="V4" i="62"/>
  <c r="V5" i="62"/>
  <c r="U2" i="62"/>
  <c r="U3" i="62"/>
  <c r="U4" i="62"/>
  <c r="U5" i="62"/>
  <c r="T2" i="62"/>
  <c r="T3" i="62"/>
  <c r="T4" i="62"/>
  <c r="T5" i="62"/>
  <c r="B76" i="62" l="1"/>
  <c r="B74" i="62"/>
  <c r="I21" i="31"/>
  <c r="B75" i="62" s="1"/>
  <c r="H21" i="31"/>
  <c r="B73" i="62" s="1"/>
  <c r="G21" i="31"/>
  <c r="B52" i="62" s="1"/>
  <c r="B69" i="62" l="1"/>
  <c r="R178" i="62" l="1"/>
  <c r="R179" i="62"/>
  <c r="R180" i="62"/>
  <c r="R181" i="62"/>
  <c r="R182" i="62"/>
  <c r="R183" i="62"/>
  <c r="R184" i="62"/>
  <c r="R185" i="62"/>
  <c r="R186" i="62"/>
  <c r="R187" i="62"/>
  <c r="R188" i="62"/>
  <c r="R189" i="62"/>
  <c r="R190" i="62"/>
  <c r="R191" i="62"/>
  <c r="R192" i="62"/>
  <c r="R193" i="62"/>
  <c r="R194" i="62"/>
  <c r="R195" i="62"/>
  <c r="R196" i="62"/>
  <c r="R197" i="62"/>
  <c r="R198" i="62"/>
  <c r="R199" i="62"/>
  <c r="R200" i="62"/>
  <c r="R201" i="62"/>
  <c r="R202" i="62"/>
  <c r="R203" i="62"/>
  <c r="R204" i="62"/>
  <c r="R205" i="62"/>
  <c r="R206" i="62"/>
  <c r="R207" i="62"/>
  <c r="R208" i="62"/>
  <c r="R209" i="62"/>
  <c r="R210" i="62"/>
  <c r="R211" i="62"/>
  <c r="R212" i="62"/>
  <c r="R213" i="62"/>
  <c r="R214" i="62"/>
  <c r="R215" i="62"/>
  <c r="R216" i="62"/>
  <c r="R217" i="62"/>
  <c r="R218" i="62"/>
  <c r="R219" i="62"/>
  <c r="R220" i="62"/>
  <c r="R221" i="62"/>
  <c r="R222" i="62"/>
  <c r="R223" i="62"/>
  <c r="R224" i="62"/>
  <c r="R225" i="62"/>
  <c r="R226" i="62"/>
  <c r="R227" i="62"/>
  <c r="R228" i="62"/>
  <c r="R229" i="62"/>
  <c r="R230" i="62"/>
  <c r="R231" i="62"/>
  <c r="R232" i="62"/>
  <c r="R233" i="62"/>
  <c r="R234" i="62"/>
  <c r="R235" i="62"/>
  <c r="R236" i="62"/>
  <c r="R237" i="62"/>
  <c r="R238" i="62"/>
  <c r="R239" i="62"/>
  <c r="R240" i="62"/>
  <c r="R241" i="62"/>
  <c r="R242" i="62"/>
  <c r="R243" i="62"/>
  <c r="S292" i="62" l="1"/>
  <c r="R292" i="62"/>
  <c r="U292" i="62"/>
  <c r="T292" i="62"/>
  <c r="F44" i="62"/>
  <c r="S154" i="62"/>
  <c r="S155" i="62"/>
  <c r="S156" i="62"/>
  <c r="S157" i="62"/>
  <c r="S158" i="62"/>
  <c r="S159" i="62"/>
  <c r="S160" i="62"/>
  <c r="S161" i="62"/>
  <c r="S162" i="62"/>
  <c r="S163" i="62"/>
  <c r="S164" i="62"/>
  <c r="S165" i="62"/>
  <c r="S166" i="62"/>
  <c r="S167" i="62"/>
  <c r="S168" i="62"/>
  <c r="S169" i="62"/>
  <c r="W101" i="62"/>
  <c r="W102" i="62"/>
  <c r="W103" i="62"/>
  <c r="W104" i="62"/>
  <c r="U101" i="62"/>
  <c r="U102" i="62"/>
  <c r="U103" i="62"/>
  <c r="U104" i="62"/>
  <c r="S21" i="62"/>
  <c r="S22" i="62"/>
  <c r="S23" i="62"/>
  <c r="B31" i="62" l="1"/>
  <c r="B30" i="62"/>
  <c r="F24" i="62"/>
  <c r="F28" i="62"/>
  <c r="T154" i="62" l="1"/>
  <c r="T155" i="62"/>
  <c r="T156" i="62"/>
  <c r="T157" i="62"/>
  <c r="T158" i="62"/>
  <c r="T159" i="62"/>
  <c r="T160" i="62"/>
  <c r="T161" i="62"/>
  <c r="T162" i="62"/>
  <c r="T163" i="62"/>
  <c r="T164" i="62"/>
  <c r="T165" i="62"/>
  <c r="T166" i="62"/>
  <c r="T167" i="62"/>
  <c r="T168" i="62"/>
  <c r="T169" i="62"/>
  <c r="Y121" i="62"/>
  <c r="B49" i="62"/>
  <c r="T61" i="62"/>
  <c r="T62" i="62"/>
  <c r="T63" i="62"/>
  <c r="U61" i="62"/>
  <c r="U62" i="62"/>
  <c r="U63" i="62"/>
  <c r="F12" i="62"/>
  <c r="F34" i="62" l="1"/>
  <c r="F30" i="62"/>
  <c r="F29" i="62"/>
  <c r="F26" i="62"/>
  <c r="F25" i="62"/>
  <c r="F19" i="62"/>
  <c r="F15" i="62"/>
  <c r="F2" i="62"/>
  <c r="F6" i="62"/>
  <c r="F10" i="62"/>
  <c r="F11" i="62"/>
  <c r="F23" i="62"/>
  <c r="T21" i="62" l="1"/>
  <c r="T22" i="62"/>
  <c r="T23" i="62"/>
  <c r="F47" i="62" l="1"/>
  <c r="F42" i="62"/>
  <c r="F41" i="62"/>
  <c r="F40" i="62"/>
  <c r="F22" i="62"/>
  <c r="F21" i="62"/>
  <c r="F20" i="62"/>
  <c r="F46" i="62" l="1"/>
  <c r="F43" i="62"/>
  <c r="T101" i="62" l="1"/>
  <c r="T102" i="62"/>
  <c r="T103" i="62"/>
  <c r="T104" i="62"/>
  <c r="F31" i="62"/>
  <c r="F39" i="62"/>
  <c r="F38" i="62"/>
  <c r="F37" i="62"/>
  <c r="F36" i="62"/>
  <c r="F35" i="62"/>
  <c r="F33" i="62"/>
  <c r="F17" i="62"/>
  <c r="F16" i="62"/>
  <c r="F14" i="62"/>
  <c r="F18" i="62"/>
  <c r="F5" i="62"/>
  <c r="L26" i="62"/>
  <c r="L25" i="62"/>
  <c r="K27" i="62"/>
  <c r="K26" i="62"/>
  <c r="K25" i="62"/>
  <c r="K24" i="62"/>
  <c r="B4" i="62" l="1"/>
  <c r="V154" i="62" l="1"/>
  <c r="V155" i="62"/>
  <c r="V156" i="62"/>
  <c r="V157" i="62"/>
  <c r="V158" i="62"/>
  <c r="V159" i="62"/>
  <c r="V160" i="62"/>
  <c r="V161" i="62"/>
  <c r="V162" i="62"/>
  <c r="V163" i="62"/>
  <c r="V164" i="62"/>
  <c r="V165" i="62"/>
  <c r="V166" i="62"/>
  <c r="V167" i="62"/>
  <c r="V168" i="62"/>
  <c r="V169" i="62"/>
  <c r="U154" i="62"/>
  <c r="U155" i="62"/>
  <c r="U156" i="62"/>
  <c r="U157" i="62"/>
  <c r="U158" i="62"/>
  <c r="U159" i="62"/>
  <c r="U160" i="62"/>
  <c r="U161" i="62"/>
  <c r="U162" i="62"/>
  <c r="U163" i="62"/>
  <c r="U164" i="62"/>
  <c r="U165" i="62"/>
  <c r="U166" i="62"/>
  <c r="U167" i="62"/>
  <c r="U168" i="62"/>
  <c r="U169" i="62"/>
  <c r="R154" i="62"/>
  <c r="R155" i="62"/>
  <c r="R156" i="62"/>
  <c r="R157" i="62"/>
  <c r="R158" i="62"/>
  <c r="R159" i="62"/>
  <c r="R160" i="62"/>
  <c r="R161" i="62"/>
  <c r="R162" i="62"/>
  <c r="R163" i="62"/>
  <c r="R164" i="62"/>
  <c r="R165" i="62"/>
  <c r="R166" i="62"/>
  <c r="R167" i="62"/>
  <c r="R168" i="62"/>
  <c r="R169" i="62"/>
  <c r="U131" i="62"/>
  <c r="U132" i="62"/>
  <c r="U133" i="62"/>
  <c r="U134" i="62"/>
  <c r="U135" i="62"/>
  <c r="U136" i="62"/>
  <c r="U137" i="62"/>
  <c r="U138" i="62"/>
  <c r="T131" i="62"/>
  <c r="T132" i="62"/>
  <c r="T133" i="62"/>
  <c r="T134" i="62"/>
  <c r="T135" i="62"/>
  <c r="T136" i="62"/>
  <c r="T137" i="62"/>
  <c r="T138" i="62"/>
  <c r="S131" i="62"/>
  <c r="S132" i="62"/>
  <c r="S133" i="62"/>
  <c r="S134" i="62"/>
  <c r="S135" i="62"/>
  <c r="S136" i="62"/>
  <c r="S137" i="62"/>
  <c r="S138" i="62"/>
  <c r="R131" i="62"/>
  <c r="R132" i="62"/>
  <c r="R133" i="62"/>
  <c r="R134" i="62"/>
  <c r="R135" i="62"/>
  <c r="R136" i="62"/>
  <c r="R137" i="62"/>
  <c r="R138" i="62"/>
  <c r="X121" i="62"/>
  <c r="W121" i="62"/>
  <c r="U121" i="62"/>
  <c r="T121" i="62"/>
  <c r="S121" i="62"/>
  <c r="S101" i="62"/>
  <c r="S102" i="62"/>
  <c r="S103" i="62"/>
  <c r="S104" i="62"/>
  <c r="R101" i="62"/>
  <c r="R102" i="62"/>
  <c r="R103" i="62"/>
  <c r="R104" i="62"/>
  <c r="J77" i="62"/>
  <c r="J73" i="62"/>
  <c r="J72" i="62"/>
  <c r="J67" i="62"/>
  <c r="J65" i="62"/>
  <c r="J64" i="62"/>
  <c r="J63" i="62"/>
  <c r="S91" i="62"/>
  <c r="U81" i="62"/>
  <c r="S81" i="62"/>
  <c r="U71" i="62"/>
  <c r="U72" i="62"/>
  <c r="S71" i="62"/>
  <c r="S72" i="62"/>
  <c r="V61" i="62"/>
  <c r="V62" i="62"/>
  <c r="V63" i="62"/>
  <c r="S61" i="62"/>
  <c r="S62" i="62"/>
  <c r="S63" i="62"/>
  <c r="S51" i="62"/>
  <c r="S52" i="62"/>
  <c r="S53" i="62"/>
  <c r="S54" i="62"/>
  <c r="R51" i="62"/>
  <c r="R52" i="62"/>
  <c r="R53" i="62"/>
  <c r="R54" i="62"/>
  <c r="S41" i="62"/>
  <c r="S42" i="62"/>
  <c r="S43" i="62"/>
  <c r="S44" i="62"/>
  <c r="R41" i="62"/>
  <c r="R42" i="62"/>
  <c r="R43" i="62"/>
  <c r="R44" i="62"/>
  <c r="W23" i="62" l="1"/>
  <c r="W22" i="62"/>
  <c r="W21" i="62"/>
  <c r="X3" i="61"/>
  <c r="U3" i="61"/>
  <c r="R3" i="61"/>
  <c r="O31" i="62"/>
  <c r="N31" i="62" s="1"/>
  <c r="N58" i="62"/>
  <c r="N57" i="62"/>
  <c r="N53" i="62"/>
  <c r="N50" i="62"/>
  <c r="N44" i="62"/>
  <c r="N42" i="62"/>
  <c r="N41" i="62"/>
  <c r="N38" i="62"/>
  <c r="N37" i="62"/>
  <c r="N36" i="62"/>
  <c r="N35" i="62"/>
  <c r="N34" i="62"/>
  <c r="J49" i="62"/>
  <c r="J48" i="62"/>
  <c r="J51" i="62"/>
  <c r="J50" i="62"/>
  <c r="J45" i="62"/>
  <c r="J44" i="62"/>
  <c r="J43" i="62"/>
  <c r="J42" i="62"/>
  <c r="J41" i="62"/>
  <c r="J40" i="62"/>
  <c r="J38" i="62"/>
  <c r="J37" i="62"/>
  <c r="J36" i="62"/>
  <c r="J35" i="62"/>
  <c r="J33" i="62"/>
  <c r="J32" i="62"/>
  <c r="J31" i="62"/>
  <c r="R21" i="62" l="1"/>
  <c r="U21" i="62"/>
  <c r="R22" i="62"/>
  <c r="U22" i="62"/>
  <c r="F69" i="62"/>
  <c r="R23" i="62"/>
  <c r="U23" i="62"/>
  <c r="N60" i="62"/>
  <c r="N17" i="62"/>
  <c r="N16" i="62"/>
  <c r="N15" i="62"/>
  <c r="N11" i="62"/>
  <c r="N10" i="62"/>
  <c r="N9" i="62"/>
  <c r="N8" i="62"/>
  <c r="N7" i="62"/>
  <c r="N6" i="62"/>
  <c r="N5" i="62"/>
  <c r="N3" i="62"/>
  <c r="J9" i="62" l="1"/>
  <c r="J7" i="62"/>
  <c r="J5" i="62"/>
  <c r="J4" i="62"/>
  <c r="F9" i="62"/>
  <c r="F7" i="62"/>
  <c r="F4" i="62"/>
  <c r="B72" i="62" l="1"/>
  <c r="B71" i="62"/>
  <c r="B65" i="62"/>
  <c r="B64" i="62"/>
  <c r="B63" i="62"/>
  <c r="B62" i="62"/>
  <c r="B57" i="62"/>
  <c r="B56" i="62"/>
  <c r="B55" i="62"/>
  <c r="B54" i="62"/>
  <c r="B53" i="62"/>
  <c r="B50" i="62"/>
  <c r="B45" i="62"/>
  <c r="B44" i="62"/>
  <c r="B40" i="62"/>
  <c r="B39" i="62"/>
  <c r="B37" i="62"/>
  <c r="B28" i="62"/>
  <c r="B23" i="62"/>
  <c r="B21" i="62"/>
  <c r="B19" i="62"/>
  <c r="B16" i="62"/>
  <c r="B14" i="62"/>
  <c r="B12" i="62"/>
  <c r="B8" i="62"/>
  <c r="B6" i="62"/>
  <c r="B3" i="62"/>
  <c r="B2" i="62" l="1"/>
  <c r="M3" i="61" l="1"/>
  <c r="D3" i="61"/>
  <c r="M4" i="61" l="1"/>
  <c r="M5" i="61" s="1"/>
  <c r="R6" i="61" s="1"/>
  <c r="X4" i="61"/>
  <c r="R4" i="61"/>
  <c r="U4" i="61"/>
  <c r="D4" i="61"/>
  <c r="D5" i="61" s="1"/>
  <c r="U5" i="61" l="1"/>
  <c r="M6" i="61"/>
  <c r="M7" i="61" s="1"/>
  <c r="R5" i="61"/>
  <c r="X6" i="61"/>
  <c r="X5" i="61"/>
  <c r="U6" i="61"/>
  <c r="D6" i="61"/>
  <c r="D7" i="61" s="1"/>
  <c r="R7" i="61" l="1"/>
  <c r="R8" i="61"/>
  <c r="X7" i="61"/>
  <c r="U7" i="61"/>
  <c r="X8" i="61"/>
  <c r="U8" i="61"/>
  <c r="M8" i="61"/>
  <c r="D8" i="61"/>
  <c r="D9" i="61" s="1"/>
  <c r="U9" i="61" l="1"/>
  <c r="M9" i="61"/>
  <c r="U10" i="61" s="1"/>
  <c r="X9" i="61"/>
  <c r="R9" i="61"/>
  <c r="D10" i="61"/>
  <c r="R10" i="61" l="1"/>
  <c r="M10" i="61"/>
  <c r="X10" i="61"/>
  <c r="D11" i="61"/>
  <c r="M11" i="61" l="1"/>
  <c r="X12" i="61" s="1"/>
  <c r="U11" i="61"/>
  <c r="R11" i="61"/>
  <c r="X11" i="61"/>
  <c r="D12" i="61"/>
  <c r="U12" i="61" l="1"/>
  <c r="R12" i="61"/>
  <c r="M12" i="61"/>
  <c r="D13" i="61"/>
  <c r="R13" i="61" l="1"/>
  <c r="M13" i="61"/>
  <c r="U14" i="61" s="1"/>
  <c r="X13" i="61"/>
  <c r="U13" i="61"/>
  <c r="D14" i="61"/>
  <c r="R14" i="61" l="1"/>
  <c r="X14" i="61"/>
  <c r="M14" i="61"/>
  <c r="D15" i="61"/>
  <c r="M15" i="61" l="1"/>
  <c r="X15" i="61"/>
  <c r="U15" i="61"/>
  <c r="R15" i="61"/>
  <c r="D16" i="61"/>
  <c r="D17" i="61" s="1"/>
  <c r="D18" i="61" s="1"/>
  <c r="D19" i="61" s="1"/>
  <c r="M16" i="61" l="1"/>
  <c r="R16" i="61"/>
  <c r="U16" i="61"/>
  <c r="X16" i="61"/>
  <c r="D20" i="61"/>
  <c r="D21" i="61" s="1"/>
  <c r="D22" i="61" l="1"/>
  <c r="M17" i="61"/>
  <c r="M18" i="61" s="1"/>
  <c r="X17" i="61"/>
  <c r="R17" i="61"/>
  <c r="U17" i="61"/>
  <c r="D23" i="61"/>
  <c r="C34" i="27"/>
  <c r="F11" i="33" s="1"/>
  <c r="B32" i="1"/>
  <c r="A14" i="73" s="1"/>
  <c r="B31" i="1"/>
  <c r="L31" i="1"/>
  <c r="P12" i="73" s="1"/>
  <c r="F15" i="33"/>
  <c r="N47" i="62" s="1"/>
  <c r="F16" i="33"/>
  <c r="N46" i="62" s="1"/>
  <c r="A7" i="1"/>
  <c r="A9" i="1" s="1"/>
  <c r="G11" i="35"/>
  <c r="E12" i="30"/>
  <c r="J15" i="62" s="1"/>
  <c r="J18" i="62"/>
  <c r="E5" i="31"/>
  <c r="B25" i="62" s="1"/>
  <c r="E6" i="31"/>
  <c r="B26" i="62" s="1"/>
  <c r="E7" i="31"/>
  <c r="B27" i="62" s="1"/>
  <c r="E8" i="31"/>
  <c r="B42" i="62" s="1"/>
  <c r="J8" i="62"/>
  <c r="F31" i="30"/>
  <c r="N4" i="62" s="1"/>
  <c r="N71" i="62"/>
  <c r="F21" i="31"/>
  <c r="D23" i="31" s="1"/>
  <c r="D34" i="31"/>
  <c r="B47" i="62" s="1"/>
  <c r="D37" i="31"/>
  <c r="A37" i="32"/>
  <c r="A31" i="32"/>
  <c r="F45" i="62" s="1"/>
  <c r="J69" i="62"/>
  <c r="C46" i="27"/>
  <c r="F12" i="33" s="1"/>
  <c r="A3" i="1"/>
  <c r="A5" i="1"/>
  <c r="M19" i="33"/>
  <c r="B28" i="1"/>
  <c r="A10" i="73" s="1"/>
  <c r="J28" i="1"/>
  <c r="H10" i="73" s="1"/>
  <c r="B29" i="1"/>
  <c r="B5" i="27"/>
  <c r="A47" i="1"/>
  <c r="F32" i="1"/>
  <c r="G31" i="1"/>
  <c r="D12" i="73" s="1"/>
  <c r="G28" i="1"/>
  <c r="A42" i="32"/>
  <c r="B5" i="62" s="1"/>
  <c r="A34" i="55"/>
  <c r="E6" i="55"/>
  <c r="A21" i="54"/>
  <c r="A34" i="53"/>
  <c r="A32" i="38"/>
  <c r="F5" i="53"/>
  <c r="F12" i="53"/>
  <c r="V131" i="62" s="1"/>
  <c r="F13" i="53"/>
  <c r="V132" i="62" s="1"/>
  <c r="F14" i="53"/>
  <c r="V133" i="62" s="1"/>
  <c r="F15" i="53"/>
  <c r="V134" i="62" s="1"/>
  <c r="F16" i="53"/>
  <c r="V135" i="62" s="1"/>
  <c r="F17" i="53"/>
  <c r="V136" i="62" s="1"/>
  <c r="F18" i="53"/>
  <c r="V137" i="62" s="1"/>
  <c r="F19" i="53"/>
  <c r="V138" i="62" s="1"/>
  <c r="E20" i="53"/>
  <c r="E18" i="30" s="1"/>
  <c r="J21" i="62" s="1"/>
  <c r="G33" i="35"/>
  <c r="H24" i="35"/>
  <c r="V101" i="62" s="1"/>
  <c r="H25" i="35"/>
  <c r="H26" i="35"/>
  <c r="V103" i="62" s="1"/>
  <c r="H27" i="35"/>
  <c r="V104" i="62" s="1"/>
  <c r="E27" i="33"/>
  <c r="N40" i="62" s="1"/>
  <c r="A36" i="33"/>
  <c r="G13" i="34"/>
  <c r="F76" i="62" s="1"/>
  <c r="F13" i="34"/>
  <c r="F67" i="62" s="1"/>
  <c r="G12" i="34"/>
  <c r="F75" i="62" s="1"/>
  <c r="F12" i="34"/>
  <c r="F66" i="62" s="1"/>
  <c r="F11" i="34"/>
  <c r="F63" i="62" s="1"/>
  <c r="G11" i="34"/>
  <c r="F72" i="62" s="1"/>
  <c r="G14" i="34"/>
  <c r="F77" i="62" s="1"/>
  <c r="G10" i="34"/>
  <c r="F71" i="62" s="1"/>
  <c r="G9" i="34"/>
  <c r="F74" i="62" s="1"/>
  <c r="G8" i="34"/>
  <c r="F73" i="62" s="1"/>
  <c r="G7" i="34"/>
  <c r="F70" i="62" s="1"/>
  <c r="F14" i="34"/>
  <c r="F68" i="62" s="1"/>
  <c r="F10" i="34"/>
  <c r="F62" i="62" s="1"/>
  <c r="F9" i="34"/>
  <c r="F65" i="62" s="1"/>
  <c r="F8" i="34"/>
  <c r="F64" i="62" s="1"/>
  <c r="F7" i="34"/>
  <c r="F61" i="62" s="1"/>
  <c r="A38" i="35"/>
  <c r="A60" i="32"/>
  <c r="K25" i="32"/>
  <c r="J47" i="62" s="1"/>
  <c r="A49" i="27"/>
  <c r="C48" i="27"/>
  <c r="C35" i="27"/>
  <c r="C23" i="27"/>
  <c r="C16" i="27"/>
  <c r="B23" i="27"/>
  <c r="B16" i="27"/>
  <c r="B17" i="27" s="1"/>
  <c r="B14" i="68" l="1"/>
  <c r="B13" i="69"/>
  <c r="D14" i="68"/>
  <c r="D13" i="69"/>
  <c r="H8" i="70"/>
  <c r="AH13" i="76"/>
  <c r="AH13" i="75"/>
  <c r="Y10" i="73"/>
  <c r="Y13" i="69" s="1"/>
  <c r="V12" i="73"/>
  <c r="A59" i="32"/>
  <c r="F14" i="33"/>
  <c r="I33" i="76" s="1"/>
  <c r="B51" i="62"/>
  <c r="H30" i="33"/>
  <c r="H35" i="33" s="1"/>
  <c r="F18" i="33"/>
  <c r="F17" i="33"/>
  <c r="N43" i="62" s="1"/>
  <c r="G13" i="35"/>
  <c r="G16" i="35" s="1"/>
  <c r="F30" i="33"/>
  <c r="F35" i="33" s="1"/>
  <c r="B68" i="62"/>
  <c r="I1" i="35"/>
  <c r="C47" i="27"/>
  <c r="E10" i="30"/>
  <c r="C24" i="27"/>
  <c r="C25" i="27" s="1"/>
  <c r="B24" i="27"/>
  <c r="B25" i="27" s="1"/>
  <c r="C17" i="27"/>
  <c r="V102" i="62"/>
  <c r="H28" i="35"/>
  <c r="G34" i="35" s="1"/>
  <c r="G35" i="35" s="1"/>
  <c r="I1" i="33"/>
  <c r="J2" i="62"/>
  <c r="N48" i="62"/>
  <c r="N45" i="62"/>
  <c r="F20" i="53"/>
  <c r="J3" i="62" s="1"/>
  <c r="J74" i="62"/>
  <c r="J62" i="62"/>
  <c r="D38" i="31"/>
  <c r="B34" i="62" s="1"/>
  <c r="B48" i="62"/>
  <c r="M19" i="61"/>
  <c r="X19" i="61"/>
  <c r="R19" i="61"/>
  <c r="U19" i="61"/>
  <c r="X18" i="61"/>
  <c r="U18" i="61"/>
  <c r="R18" i="61"/>
  <c r="D35" i="31"/>
  <c r="B33" i="62" s="1"/>
  <c r="D24" i="61"/>
  <c r="D25" i="61" s="1"/>
  <c r="G1" i="38" l="1"/>
  <c r="G1" i="77"/>
  <c r="AG44" i="76"/>
  <c r="AJ46" i="76" s="1"/>
  <c r="I43" i="76"/>
  <c r="I46" i="76" s="1"/>
  <c r="AE35" i="76" s="1"/>
  <c r="I33" i="75"/>
  <c r="J17" i="62"/>
  <c r="N3" i="74"/>
  <c r="AC20" i="74" s="1"/>
  <c r="Y14" i="68"/>
  <c r="N49" i="62"/>
  <c r="F23" i="33"/>
  <c r="H36" i="73" s="1"/>
  <c r="AD7" i="74" s="1"/>
  <c r="J66" i="62"/>
  <c r="F1" i="53"/>
  <c r="E1" i="55" s="1"/>
  <c r="N39" i="62"/>
  <c r="J12" i="62"/>
  <c r="N56" i="62"/>
  <c r="N33" i="62"/>
  <c r="J68" i="62"/>
  <c r="J76" i="62"/>
  <c r="N54" i="62"/>
  <c r="N32" i="62"/>
  <c r="J71" i="62"/>
  <c r="E13" i="30"/>
  <c r="J20" i="62" s="1"/>
  <c r="J46" i="62"/>
  <c r="R20" i="61"/>
  <c r="X20" i="61"/>
  <c r="U20" i="61"/>
  <c r="M20" i="61"/>
  <c r="D26" i="61"/>
  <c r="D27" i="61" s="1"/>
  <c r="D28" i="61" s="1"/>
  <c r="D29" i="61" s="1"/>
  <c r="D30" i="61" s="1"/>
  <c r="D31" i="61" s="1"/>
  <c r="D32" i="61" s="1"/>
  <c r="D33" i="61" s="1"/>
  <c r="D34" i="61" s="1"/>
  <c r="D35" i="61" s="1"/>
  <c r="D36" i="61" s="1"/>
  <c r="D37" i="61" s="1"/>
  <c r="D38" i="61" s="1"/>
  <c r="D39" i="61" s="1"/>
  <c r="X38" i="76" l="1"/>
  <c r="AH39" i="76"/>
  <c r="X39" i="76"/>
  <c r="AD40" i="76" s="1"/>
  <c r="AG44" i="75"/>
  <c r="AJ46" i="75" s="1"/>
  <c r="E11" i="78" s="1"/>
  <c r="I43" i="75"/>
  <c r="I46" i="75" s="1"/>
  <c r="AE35" i="75" s="1"/>
  <c r="E10" i="78" s="1"/>
  <c r="H46" i="73"/>
  <c r="H50" i="73" s="1"/>
  <c r="G9" i="74"/>
  <c r="C12" i="78" s="1"/>
  <c r="H42" i="73"/>
  <c r="N51" i="62"/>
  <c r="E11" i="30"/>
  <c r="F37" i="30" s="1"/>
  <c r="N52" i="62"/>
  <c r="J75" i="62"/>
  <c r="J70" i="62"/>
  <c r="E14" i="30"/>
  <c r="J16" i="62" s="1"/>
  <c r="X21" i="61"/>
  <c r="R21" i="61"/>
  <c r="U21" i="61"/>
  <c r="M21" i="61"/>
  <c r="M22" i="61" s="1"/>
  <c r="D40" i="61"/>
  <c r="D41" i="61" s="1"/>
  <c r="AH39" i="75" l="1"/>
  <c r="X39" i="75"/>
  <c r="AD40" i="75" s="1"/>
  <c r="X38" i="75"/>
  <c r="C15" i="78"/>
  <c r="H52" i="73"/>
  <c r="J19" i="62"/>
  <c r="E15" i="30"/>
  <c r="B36" i="62"/>
  <c r="M23" i="61"/>
  <c r="M24" i="61" s="1"/>
  <c r="X22" i="61"/>
  <c r="U22" i="61"/>
  <c r="R22" i="61"/>
  <c r="X23" i="61"/>
  <c r="R23" i="61"/>
  <c r="U23" i="61"/>
  <c r="D42" i="61"/>
  <c r="D43" i="61" s="1"/>
  <c r="D44" i="61" s="1"/>
  <c r="E16" i="30" l="1"/>
  <c r="N74" i="62"/>
  <c r="E13" i="78"/>
  <c r="G11" i="78"/>
  <c r="C17" i="78"/>
  <c r="H56" i="73"/>
  <c r="AD9" i="74"/>
  <c r="D12" i="78" s="1"/>
  <c r="X24" i="61"/>
  <c r="U24" i="61"/>
  <c r="R24" i="61"/>
  <c r="J10" i="62"/>
  <c r="F39" i="30"/>
  <c r="B20" i="62" s="1"/>
  <c r="J11" i="62"/>
  <c r="M25" i="61"/>
  <c r="U25" i="61"/>
  <c r="R25" i="61"/>
  <c r="X25" i="61"/>
  <c r="D45" i="61"/>
  <c r="D46" i="61" s="1"/>
  <c r="D47" i="61" s="1"/>
  <c r="A100" i="78" l="1"/>
  <c r="E19" i="30"/>
  <c r="H58" i="73"/>
  <c r="H60" i="73" s="1"/>
  <c r="H64" i="73" s="1"/>
  <c r="G13" i="78"/>
  <c r="E16" i="78"/>
  <c r="D15" i="78"/>
  <c r="G12" i="78"/>
  <c r="C19" i="78"/>
  <c r="L21" i="30"/>
  <c r="M26" i="61"/>
  <c r="R26" i="61"/>
  <c r="U26" i="61"/>
  <c r="X26" i="61"/>
  <c r="D48" i="61"/>
  <c r="K20" i="30" l="1"/>
  <c r="K19" i="30"/>
  <c r="C10" i="78"/>
  <c r="G10" i="78" s="1"/>
  <c r="N13" i="74"/>
  <c r="E18" i="78"/>
  <c r="G16" i="78"/>
  <c r="C22" i="78"/>
  <c r="D17" i="78"/>
  <c r="G15" i="78"/>
  <c r="J13" i="62"/>
  <c r="B18" i="62"/>
  <c r="B22" i="62"/>
  <c r="E11" i="31"/>
  <c r="F23" i="38"/>
  <c r="F15" i="54"/>
  <c r="Z121" i="62" s="1"/>
  <c r="J14" i="62"/>
  <c r="M27" i="61"/>
  <c r="X27" i="61"/>
  <c r="U27" i="61"/>
  <c r="R27" i="61"/>
  <c r="D49" i="61"/>
  <c r="E20" i="78" l="1"/>
  <c r="G18" i="78"/>
  <c r="D19" i="78"/>
  <c r="G17" i="78"/>
  <c r="C24" i="78"/>
  <c r="F32" i="30"/>
  <c r="N13" i="62" s="1"/>
  <c r="B67" i="62"/>
  <c r="B24" i="62"/>
  <c r="M28" i="61"/>
  <c r="X28" i="61"/>
  <c r="U28" i="61"/>
  <c r="R28" i="61"/>
  <c r="D50" i="6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D158" i="61" s="1"/>
  <c r="D159" i="61" s="1"/>
  <c r="D160" i="61" s="1"/>
  <c r="D161" i="61" s="1"/>
  <c r="D162" i="61" s="1"/>
  <c r="D163" i="61" s="1"/>
  <c r="D164" i="61" s="1"/>
  <c r="D165" i="61" s="1"/>
  <c r="D166" i="61" s="1"/>
  <c r="D167" i="61" s="1"/>
  <c r="D168" i="61" s="1"/>
  <c r="D169" i="61" s="1"/>
  <c r="D170" i="61" s="1"/>
  <c r="D171" i="61" s="1"/>
  <c r="D172" i="61" s="1"/>
  <c r="D173" i="61" s="1"/>
  <c r="D174" i="61" s="1"/>
  <c r="D175" i="61" s="1"/>
  <c r="D176" i="61" s="1"/>
  <c r="D177" i="61" s="1"/>
  <c r="D178" i="61" s="1"/>
  <c r="D179" i="61" s="1"/>
  <c r="D180" i="61" s="1"/>
  <c r="D181" i="61" s="1"/>
  <c r="D182" i="61" s="1"/>
  <c r="D183" i="61" s="1"/>
  <c r="D184" i="61" s="1"/>
  <c r="D185" i="61" s="1"/>
  <c r="D186" i="61" s="1"/>
  <c r="D187" i="61" s="1"/>
  <c r="D188" i="61" s="1"/>
  <c r="D189" i="61" s="1"/>
  <c r="D190" i="61" s="1"/>
  <c r="D191" i="61" s="1"/>
  <c r="D192" i="61" s="1"/>
  <c r="D193" i="61" s="1"/>
  <c r="D194" i="61" s="1"/>
  <c r="D195" i="61" s="1"/>
  <c r="D196" i="61" s="1"/>
  <c r="D197" i="61" s="1"/>
  <c r="D198" i="61" s="1"/>
  <c r="D199" i="61" s="1"/>
  <c r="D200" i="61" s="1"/>
  <c r="D201" i="61" s="1"/>
  <c r="D202" i="61" s="1"/>
  <c r="D203" i="61" s="1"/>
  <c r="D204" i="61" s="1"/>
  <c r="H169" i="61" s="1"/>
  <c r="G20" i="78" l="1"/>
  <c r="E23" i="78"/>
  <c r="C26" i="78"/>
  <c r="D22" i="78"/>
  <c r="G19" i="78"/>
  <c r="F33" i="30"/>
  <c r="M29" i="61"/>
  <c r="R29" i="61"/>
  <c r="U29" i="61"/>
  <c r="X29" i="61"/>
  <c r="H44" i="61"/>
  <c r="H129" i="61"/>
  <c r="H96" i="61"/>
  <c r="H121" i="61"/>
  <c r="H123" i="61"/>
  <c r="H48" i="61"/>
  <c r="H185" i="61"/>
  <c r="H162" i="61"/>
  <c r="H198" i="61"/>
  <c r="H143" i="61"/>
  <c r="H204" i="61"/>
  <c r="H187" i="61"/>
  <c r="H203" i="61"/>
  <c r="H164" i="61"/>
  <c r="H127" i="61"/>
  <c r="H57" i="61"/>
  <c r="H76" i="61"/>
  <c r="H120" i="61"/>
  <c r="H158" i="61"/>
  <c r="H103" i="61"/>
  <c r="H59" i="61"/>
  <c r="H201" i="61"/>
  <c r="H95" i="61"/>
  <c r="H124" i="61"/>
  <c r="H165" i="61"/>
  <c r="H159" i="61"/>
  <c r="H174" i="61"/>
  <c r="H131" i="61"/>
  <c r="H3" i="61"/>
  <c r="H6" i="61"/>
  <c r="H5" i="61"/>
  <c r="H9" i="61"/>
  <c r="H4" i="61"/>
  <c r="H8" i="61"/>
  <c r="H7" i="61"/>
  <c r="H17" i="61"/>
  <c r="H14" i="61"/>
  <c r="H26" i="61"/>
  <c r="H10" i="61"/>
  <c r="H70" i="61"/>
  <c r="H104" i="61"/>
  <c r="H39" i="61"/>
  <c r="H43" i="61"/>
  <c r="H90" i="61"/>
  <c r="H99" i="61"/>
  <c r="H51" i="61"/>
  <c r="H12" i="61"/>
  <c r="H50" i="61"/>
  <c r="H11" i="61"/>
  <c r="H147" i="61"/>
  <c r="H27" i="61"/>
  <c r="H37" i="61"/>
  <c r="H49" i="61"/>
  <c r="H23" i="61"/>
  <c r="H46" i="61"/>
  <c r="H25" i="61"/>
  <c r="H107" i="61"/>
  <c r="H42" i="61"/>
  <c r="H72" i="61"/>
  <c r="H60" i="61"/>
  <c r="H36" i="61"/>
  <c r="H47" i="61"/>
  <c r="H15" i="61"/>
  <c r="H18" i="61"/>
  <c r="H45" i="61"/>
  <c r="H30" i="61"/>
  <c r="H133" i="61"/>
  <c r="H31" i="61"/>
  <c r="H19" i="61"/>
  <c r="H16" i="61"/>
  <c r="H89" i="61"/>
  <c r="H98" i="61"/>
  <c r="H24" i="61"/>
  <c r="H29" i="61"/>
  <c r="H71" i="61"/>
  <c r="H13" i="61"/>
  <c r="H20" i="61"/>
  <c r="H55" i="61"/>
  <c r="H65" i="61"/>
  <c r="H54" i="61"/>
  <c r="H21" i="61"/>
  <c r="H35" i="61"/>
  <c r="H109" i="61"/>
  <c r="H40" i="61"/>
  <c r="H52" i="61"/>
  <c r="H77" i="61"/>
  <c r="H83" i="61"/>
  <c r="H32" i="61"/>
  <c r="H33" i="61"/>
  <c r="H38" i="61"/>
  <c r="H81" i="61"/>
  <c r="H22" i="61"/>
  <c r="H53" i="61"/>
  <c r="H87" i="61"/>
  <c r="H28" i="61"/>
  <c r="H34" i="61"/>
  <c r="H56" i="61"/>
  <c r="H186" i="61"/>
  <c r="H114" i="61"/>
  <c r="H153" i="61"/>
  <c r="H75" i="61"/>
  <c r="H166" i="61"/>
  <c r="H163" i="61"/>
  <c r="H205" i="61"/>
  <c r="H126" i="61"/>
  <c r="H91" i="61"/>
  <c r="H154" i="61"/>
  <c r="H150" i="61"/>
  <c r="H144" i="61"/>
  <c r="H88" i="61"/>
  <c r="H188" i="61"/>
  <c r="H101" i="61"/>
  <c r="H116" i="61"/>
  <c r="H135" i="61"/>
  <c r="H68" i="61"/>
  <c r="H152" i="61"/>
  <c r="H141" i="61"/>
  <c r="H190" i="61"/>
  <c r="H80" i="61"/>
  <c r="H130" i="61"/>
  <c r="H85" i="61"/>
  <c r="H79" i="61"/>
  <c r="H176" i="61"/>
  <c r="H197" i="61"/>
  <c r="H148" i="61"/>
  <c r="H179" i="61"/>
  <c r="H118" i="61"/>
  <c r="H92" i="61"/>
  <c r="H155" i="61"/>
  <c r="H171" i="61"/>
  <c r="H139" i="61"/>
  <c r="H136" i="61"/>
  <c r="H177" i="61"/>
  <c r="H58" i="61"/>
  <c r="H94" i="61"/>
  <c r="H200" i="61"/>
  <c r="H117" i="61"/>
  <c r="H194" i="61"/>
  <c r="H183" i="61"/>
  <c r="H78" i="61"/>
  <c r="H66" i="61"/>
  <c r="H73" i="61"/>
  <c r="H119" i="61"/>
  <c r="H134" i="61"/>
  <c r="H102" i="61"/>
  <c r="H191" i="61"/>
  <c r="H184" i="61"/>
  <c r="H113" i="61"/>
  <c r="H199" i="61"/>
  <c r="H74" i="61"/>
  <c r="H106" i="61"/>
  <c r="H137" i="61"/>
  <c r="H125" i="61"/>
  <c r="H69" i="61"/>
  <c r="H160" i="61"/>
  <c r="H196" i="61"/>
  <c r="H175" i="61"/>
  <c r="H111" i="61"/>
  <c r="H132" i="61"/>
  <c r="H100" i="61"/>
  <c r="H41" i="61"/>
  <c r="H122" i="61"/>
  <c r="H192" i="61"/>
  <c r="H61" i="61"/>
  <c r="H62" i="61"/>
  <c r="H195" i="61"/>
  <c r="H156" i="61"/>
  <c r="H64" i="61"/>
  <c r="H128" i="61"/>
  <c r="H178" i="61"/>
  <c r="H157" i="61"/>
  <c r="H112" i="61"/>
  <c r="H167" i="61"/>
  <c r="H108" i="61"/>
  <c r="H82" i="61"/>
  <c r="H173" i="61"/>
  <c r="H115" i="61"/>
  <c r="H146" i="61"/>
  <c r="H105" i="61"/>
  <c r="H151" i="61"/>
  <c r="H93" i="61"/>
  <c r="H170" i="61"/>
  <c r="H97" i="61"/>
  <c r="H193" i="61"/>
  <c r="H84" i="61"/>
  <c r="H182" i="61"/>
  <c r="H142" i="61"/>
  <c r="H168" i="61"/>
  <c r="H67" i="61"/>
  <c r="H180" i="61"/>
  <c r="H161" i="61"/>
  <c r="H110" i="61"/>
  <c r="H138" i="61"/>
  <c r="H181" i="61"/>
  <c r="H202" i="61"/>
  <c r="H63" i="61"/>
  <c r="H149" i="61"/>
  <c r="H140" i="61"/>
  <c r="H189" i="61"/>
  <c r="H86" i="61"/>
  <c r="H172" i="61"/>
  <c r="H145" i="61"/>
  <c r="F34" i="30" l="1"/>
  <c r="F13" i="38"/>
  <c r="N79" i="62" s="1"/>
  <c r="E25" i="78"/>
  <c r="G23" i="78"/>
  <c r="D24" i="78"/>
  <c r="G22" i="78"/>
  <c r="C29" i="78"/>
  <c r="N14" i="62"/>
  <c r="N2" i="62"/>
  <c r="F16" i="54"/>
  <c r="F24" i="38"/>
  <c r="F25" i="38" s="1"/>
  <c r="M30" i="61"/>
  <c r="X30" i="61"/>
  <c r="R30" i="61"/>
  <c r="U30" i="61"/>
  <c r="G2" i="61"/>
  <c r="E27" i="78" l="1"/>
  <c r="G25" i="78"/>
  <c r="C31" i="78"/>
  <c r="D26" i="78"/>
  <c r="G24" i="78"/>
  <c r="F26" i="38"/>
  <c r="V121" i="62"/>
  <c r="F17" i="54"/>
  <c r="M31" i="61"/>
  <c r="U31" i="61"/>
  <c r="X31" i="61"/>
  <c r="R31" i="61"/>
  <c r="G27" i="78" l="1"/>
  <c r="E30" i="78"/>
  <c r="D29" i="78"/>
  <c r="G26" i="78"/>
  <c r="C33" i="78"/>
  <c r="R121" i="62"/>
  <c r="F18" i="54"/>
  <c r="AA121" i="62" s="1"/>
  <c r="F27" i="38"/>
  <c r="M32" i="61"/>
  <c r="U32" i="61"/>
  <c r="X32" i="61"/>
  <c r="R32" i="61"/>
  <c r="E32" i="78" l="1"/>
  <c r="G30" i="78"/>
  <c r="C36" i="78"/>
  <c r="D31" i="78"/>
  <c r="G29" i="78"/>
  <c r="F28" i="38"/>
  <c r="N72" i="62" s="1"/>
  <c r="N73" i="62"/>
  <c r="F36" i="30"/>
  <c r="F38" i="30" s="1"/>
  <c r="E12" i="31" s="1"/>
  <c r="M33" i="61"/>
  <c r="U33" i="61"/>
  <c r="X33" i="61"/>
  <c r="R33" i="61"/>
  <c r="G32" i="78" l="1"/>
  <c r="E34" i="78"/>
  <c r="D33" i="78"/>
  <c r="G31" i="78"/>
  <c r="C38" i="78"/>
  <c r="B11" i="62"/>
  <c r="M34" i="61"/>
  <c r="U34" i="61"/>
  <c r="R34" i="61"/>
  <c r="X34" i="61"/>
  <c r="E37" i="78" l="1"/>
  <c r="G34" i="78"/>
  <c r="C40" i="78"/>
  <c r="D36" i="78"/>
  <c r="G33" i="78"/>
  <c r="B7" i="62"/>
  <c r="D24" i="31"/>
  <c r="D29" i="31" s="1"/>
  <c r="M35" i="61"/>
  <c r="R35" i="61"/>
  <c r="U35" i="61"/>
  <c r="X35" i="61"/>
  <c r="E39" i="78" l="1"/>
  <c r="G37" i="78"/>
  <c r="C43" i="78"/>
  <c r="D38" i="78"/>
  <c r="G36" i="78"/>
  <c r="D25" i="31"/>
  <c r="B17" i="62"/>
  <c r="B9" i="62"/>
  <c r="M36" i="61"/>
  <c r="R36" i="61"/>
  <c r="U36" i="61"/>
  <c r="X36" i="61"/>
  <c r="D28" i="31" l="1"/>
  <c r="B81" i="62"/>
  <c r="E41" i="78"/>
  <c r="G41" i="78" s="1"/>
  <c r="G39" i="78"/>
  <c r="D40" i="78"/>
  <c r="G38" i="78"/>
  <c r="D30" i="31"/>
  <c r="B82" i="62" s="1"/>
  <c r="D31" i="31"/>
  <c r="B83" i="62" s="1"/>
  <c r="B10" i="62"/>
  <c r="B35" i="62"/>
  <c r="M37" i="61"/>
  <c r="X37" i="61"/>
  <c r="R37" i="61"/>
  <c r="U37" i="61"/>
  <c r="D48" i="31" l="1"/>
  <c r="B9" i="78" s="1"/>
  <c r="G9" i="78" s="1"/>
  <c r="C4" i="78"/>
  <c r="C5" i="78" s="1"/>
  <c r="D43" i="78"/>
  <c r="G43" i="78" s="1"/>
  <c r="G40" i="78"/>
  <c r="M38" i="61"/>
  <c r="X38" i="61"/>
  <c r="U38" i="61"/>
  <c r="R38" i="61"/>
  <c r="B21" i="78" l="1"/>
  <c r="B14" i="78"/>
  <c r="B32" i="62"/>
  <c r="D54" i="32"/>
  <c r="B113" i="62" s="1"/>
  <c r="M39" i="61"/>
  <c r="X39" i="61"/>
  <c r="R39" i="61"/>
  <c r="U39" i="61"/>
  <c r="G14" i="78" l="1"/>
  <c r="B28" i="78"/>
  <c r="B35" i="78"/>
  <c r="G35" i="78" s="1"/>
  <c r="G21" i="78"/>
  <c r="B46" i="62"/>
  <c r="M40" i="61"/>
  <c r="U40" i="61"/>
  <c r="R40" i="61"/>
  <c r="X40" i="61"/>
  <c r="G28" i="78" l="1"/>
  <c r="B42" i="78"/>
  <c r="G42" i="78" s="1"/>
  <c r="B101" i="62"/>
  <c r="B104" i="62"/>
  <c r="B94" i="62"/>
  <c r="B117" i="62"/>
  <c r="B109" i="62"/>
  <c r="B98" i="62"/>
  <c r="B119" i="62"/>
  <c r="B115" i="62"/>
  <c r="B111" i="62"/>
  <c r="B106" i="62"/>
  <c r="B96" i="62"/>
  <c r="B110" i="62"/>
  <c r="B100" i="62"/>
  <c r="B92" i="62"/>
  <c r="B116" i="62"/>
  <c r="B112" i="62"/>
  <c r="B108" i="62"/>
  <c r="B118" i="62"/>
  <c r="B114" i="62"/>
  <c r="B89" i="62"/>
  <c r="G56" i="32"/>
  <c r="B105" i="62" s="1"/>
  <c r="C56" i="32"/>
  <c r="B57" i="32"/>
  <c r="B58" i="32"/>
  <c r="C55" i="32"/>
  <c r="M41" i="61"/>
  <c r="U41" i="61"/>
  <c r="R41" i="61"/>
  <c r="X41" i="61"/>
  <c r="M42" i="61" l="1"/>
  <c r="R42" i="61"/>
  <c r="X42" i="61"/>
  <c r="U42" i="61"/>
  <c r="M43" i="61" l="1"/>
  <c r="U43" i="61"/>
  <c r="X43" i="61"/>
  <c r="R43" i="61"/>
  <c r="M44" i="61" l="1"/>
  <c r="R44" i="61"/>
  <c r="X44" i="61"/>
  <c r="U44" i="61"/>
  <c r="M45" i="61" l="1"/>
  <c r="X45" i="61"/>
  <c r="R45" i="61"/>
  <c r="U45" i="61"/>
  <c r="M46" i="61" l="1"/>
  <c r="R46" i="61"/>
  <c r="U46" i="61"/>
  <c r="X46" i="61"/>
  <c r="M47" i="61" l="1"/>
  <c r="U47" i="61"/>
  <c r="X47" i="61"/>
  <c r="R47" i="61"/>
  <c r="M48" i="61" l="1"/>
  <c r="R48" i="61"/>
  <c r="X48" i="61"/>
  <c r="U48" i="61"/>
  <c r="M49" i="61" l="1"/>
  <c r="U49" i="61"/>
  <c r="R49" i="61"/>
  <c r="X49" i="61"/>
  <c r="M50" i="61" l="1"/>
  <c r="U50" i="61"/>
  <c r="R50" i="61"/>
  <c r="X50" i="61"/>
  <c r="M51" i="61" l="1"/>
  <c r="X51" i="61"/>
  <c r="U51" i="61"/>
  <c r="R51" i="61"/>
  <c r="M52" i="61" l="1"/>
  <c r="X52" i="61"/>
  <c r="R52" i="61"/>
  <c r="U52" i="61"/>
  <c r="M53" i="61" l="1"/>
  <c r="X53" i="61"/>
  <c r="R53" i="61"/>
  <c r="U53" i="61"/>
  <c r="M54" i="61" l="1"/>
  <c r="U54" i="61"/>
  <c r="R54" i="61"/>
  <c r="X54" i="61"/>
  <c r="M55" i="61" l="1"/>
  <c r="X55" i="61"/>
  <c r="U55" i="61"/>
  <c r="R55" i="61"/>
  <c r="M56" i="61" l="1"/>
  <c r="R56" i="61"/>
  <c r="X56" i="61"/>
  <c r="U56" i="61"/>
  <c r="M57" i="61" l="1"/>
  <c r="R57" i="61"/>
  <c r="X57" i="61"/>
  <c r="U57" i="61"/>
  <c r="M58" i="61" l="1"/>
  <c r="U58" i="61"/>
  <c r="R58" i="61"/>
  <c r="X58" i="61"/>
  <c r="M59" i="61" l="1"/>
  <c r="X59" i="61"/>
  <c r="U59" i="61"/>
  <c r="R59" i="61"/>
  <c r="M60" i="61" l="1"/>
  <c r="R60" i="61"/>
  <c r="U60" i="61"/>
  <c r="X60" i="61"/>
  <c r="M61" i="61" l="1"/>
  <c r="X61" i="61"/>
  <c r="R61" i="61"/>
  <c r="U61" i="61"/>
  <c r="M62" i="61" l="1"/>
  <c r="U62" i="61"/>
  <c r="X62" i="61"/>
  <c r="R62" i="61"/>
  <c r="M63" i="61" l="1"/>
  <c r="X63" i="61"/>
  <c r="U63" i="61"/>
  <c r="R63" i="61"/>
  <c r="M64" i="61" l="1"/>
  <c r="X64" i="61"/>
  <c r="U64" i="61"/>
  <c r="R64" i="61"/>
  <c r="M65" i="61" l="1"/>
  <c r="U65" i="61"/>
  <c r="R65" i="61"/>
  <c r="X65" i="61"/>
  <c r="M66" i="61" l="1"/>
  <c r="R66" i="61"/>
  <c r="U66" i="61"/>
  <c r="X66" i="61"/>
  <c r="M67" i="61" l="1"/>
  <c r="X67" i="61"/>
  <c r="R67" i="61"/>
  <c r="U67" i="61"/>
  <c r="M68" i="61" l="1"/>
  <c r="U68" i="61"/>
  <c r="R68" i="61"/>
  <c r="X68" i="61"/>
  <c r="M69" i="61" l="1"/>
  <c r="R69" i="61"/>
  <c r="X69" i="61"/>
  <c r="U69" i="61"/>
  <c r="M70" i="61" l="1"/>
  <c r="R70" i="61"/>
  <c r="U70" i="61"/>
  <c r="X70" i="61"/>
  <c r="M71" i="61" l="1"/>
  <c r="U71" i="61"/>
  <c r="X71" i="61"/>
  <c r="R71" i="61"/>
  <c r="M72" i="61" l="1"/>
  <c r="R72" i="61"/>
  <c r="X72" i="61"/>
  <c r="U72" i="61"/>
  <c r="M73" i="61" l="1"/>
  <c r="U73" i="61"/>
  <c r="R73" i="61"/>
  <c r="X73" i="61"/>
  <c r="M74" i="61" l="1"/>
  <c r="U74" i="61"/>
  <c r="R74" i="61"/>
  <c r="X74" i="61"/>
  <c r="M75" i="61" l="1"/>
  <c r="X75" i="61"/>
  <c r="R75" i="61"/>
  <c r="U75" i="61"/>
  <c r="M76" i="61" l="1"/>
  <c r="R76" i="61"/>
  <c r="U76" i="61"/>
  <c r="X76" i="61"/>
  <c r="M77" i="61" l="1"/>
  <c r="X77" i="61"/>
  <c r="R77" i="61"/>
  <c r="U77" i="61"/>
  <c r="M78" i="61" l="1"/>
  <c r="U78" i="61"/>
  <c r="R78" i="61"/>
  <c r="X78" i="61"/>
  <c r="M79" i="61" l="1"/>
  <c r="X79" i="61"/>
  <c r="R79" i="61"/>
  <c r="U79" i="61"/>
  <c r="M80" i="61" l="1"/>
  <c r="X80" i="61"/>
  <c r="U80" i="61"/>
  <c r="R80" i="61"/>
  <c r="M81" i="61" l="1"/>
  <c r="R81" i="61"/>
  <c r="X81" i="61"/>
  <c r="U81" i="61"/>
  <c r="M82" i="61" l="1"/>
  <c r="U82" i="61"/>
  <c r="R82" i="61"/>
  <c r="X82" i="61"/>
  <c r="M83" i="61" l="1"/>
  <c r="U83" i="61"/>
  <c r="X83" i="61"/>
  <c r="R83" i="61"/>
  <c r="M84" i="61" l="1"/>
  <c r="R84" i="61"/>
  <c r="U84" i="61"/>
  <c r="X84" i="61"/>
  <c r="M85" i="61" l="1"/>
  <c r="X85" i="61"/>
  <c r="R85" i="61"/>
  <c r="U85" i="61"/>
  <c r="M86" i="61" l="1"/>
  <c r="X86" i="61"/>
  <c r="U86" i="61"/>
  <c r="R86" i="61"/>
  <c r="M87" i="61" l="1"/>
  <c r="U87" i="61"/>
  <c r="X87" i="61"/>
  <c r="R87" i="61"/>
  <c r="M88" i="61" l="1"/>
  <c r="X88" i="61"/>
  <c r="U88" i="61"/>
  <c r="R88" i="61"/>
  <c r="M89" i="61" l="1"/>
  <c r="U89" i="61"/>
  <c r="R89" i="61"/>
  <c r="X89" i="61"/>
  <c r="M90" i="61" l="1"/>
  <c r="U90" i="61"/>
  <c r="X90" i="61"/>
  <c r="R90" i="61"/>
  <c r="M91" i="61" l="1"/>
  <c r="X91" i="61"/>
  <c r="U91" i="61"/>
  <c r="R91" i="61"/>
  <c r="M92" i="61" l="1"/>
  <c r="X92" i="61"/>
  <c r="U92" i="61"/>
  <c r="R92" i="61"/>
  <c r="M93" i="61" l="1"/>
  <c r="U93" i="61"/>
  <c r="X93" i="61"/>
  <c r="R93" i="61"/>
  <c r="M94" i="61" l="1"/>
  <c r="U94" i="61"/>
  <c r="X94" i="61"/>
  <c r="R94" i="61"/>
  <c r="M95" i="61" l="1"/>
  <c r="U95" i="61"/>
  <c r="R95" i="61"/>
  <c r="X95" i="61"/>
  <c r="M96" i="61" l="1"/>
  <c r="R96" i="61"/>
  <c r="U96" i="61"/>
  <c r="X96" i="61"/>
  <c r="M97" i="61" l="1"/>
  <c r="R97" i="61"/>
  <c r="X97" i="61"/>
  <c r="U97" i="61"/>
  <c r="M98" i="61" l="1"/>
  <c r="X98" i="61"/>
  <c r="R98" i="61"/>
  <c r="U98" i="61"/>
  <c r="M99" i="61" l="1"/>
  <c r="X99" i="61"/>
  <c r="U99" i="61"/>
  <c r="R99" i="61"/>
  <c r="M100" i="61" l="1"/>
  <c r="U100" i="61"/>
  <c r="R100" i="61"/>
  <c r="X100" i="61"/>
  <c r="M101" i="61" l="1"/>
  <c r="X101" i="61"/>
  <c r="R101" i="61"/>
  <c r="U101" i="61"/>
  <c r="M102" i="61" l="1"/>
  <c r="R102" i="61"/>
  <c r="U102" i="61"/>
  <c r="X102" i="61"/>
  <c r="M103" i="61" l="1"/>
  <c r="U103" i="61"/>
  <c r="X103" i="61"/>
  <c r="R103" i="61"/>
  <c r="M104" i="61" l="1"/>
  <c r="U104" i="61"/>
  <c r="R104" i="61"/>
  <c r="X104" i="61"/>
  <c r="M105" i="61" l="1"/>
  <c r="U105" i="61"/>
  <c r="X105" i="61"/>
  <c r="R105" i="61"/>
  <c r="M106" i="61" l="1"/>
  <c r="X106" i="61"/>
  <c r="R106" i="61"/>
  <c r="U106" i="61"/>
  <c r="M107" i="61" l="1"/>
  <c r="X107" i="61"/>
  <c r="U107" i="61"/>
  <c r="R107" i="61"/>
  <c r="M108" i="61" l="1"/>
  <c r="R108" i="61"/>
  <c r="X108" i="61"/>
  <c r="U108" i="61"/>
  <c r="M109" i="61" l="1"/>
  <c r="U109" i="61"/>
  <c r="X109" i="61"/>
  <c r="R109" i="61"/>
  <c r="M110" i="61" l="1"/>
  <c r="X110" i="61"/>
  <c r="U110" i="61"/>
  <c r="R110" i="61"/>
  <c r="M111" i="61" l="1"/>
  <c r="U111" i="61"/>
  <c r="X111" i="61"/>
  <c r="R111" i="61"/>
  <c r="M112" i="61" l="1"/>
  <c r="R112" i="61"/>
  <c r="U112" i="61"/>
  <c r="X112" i="61"/>
  <c r="M113" i="61" l="1"/>
  <c r="U113" i="61"/>
  <c r="X113" i="61"/>
  <c r="R113" i="61"/>
  <c r="M114" i="61" l="1"/>
  <c r="R114" i="61"/>
  <c r="X114" i="61"/>
  <c r="U114" i="61"/>
  <c r="M115" i="61" l="1"/>
  <c r="U115" i="61"/>
  <c r="X115" i="61"/>
  <c r="R115" i="61"/>
  <c r="M116" i="61" l="1"/>
  <c r="U116" i="61"/>
  <c r="X116" i="61"/>
  <c r="R116" i="61"/>
  <c r="M117" i="61" l="1"/>
  <c r="X117" i="61"/>
  <c r="U117" i="61"/>
  <c r="R117" i="61"/>
  <c r="M118" i="61" l="1"/>
  <c r="X118" i="61"/>
  <c r="U118" i="61"/>
  <c r="R118" i="61"/>
  <c r="M119" i="61" l="1"/>
  <c r="X119" i="61"/>
  <c r="U119" i="61"/>
  <c r="R119" i="61"/>
  <c r="M120" i="61" l="1"/>
  <c r="X120" i="61"/>
  <c r="U120" i="61"/>
  <c r="R120" i="61"/>
  <c r="M121" i="61" l="1"/>
  <c r="U121" i="61"/>
  <c r="X121" i="61"/>
  <c r="R121" i="61"/>
  <c r="M122" i="61" l="1"/>
  <c r="R122" i="61"/>
  <c r="U122" i="61"/>
  <c r="X122" i="61"/>
  <c r="M123" i="61" l="1"/>
  <c r="R123" i="61"/>
  <c r="X123" i="61"/>
  <c r="U123" i="61"/>
  <c r="M124" i="61" l="1"/>
  <c r="U124" i="61"/>
  <c r="X124" i="61"/>
  <c r="R124" i="61"/>
  <c r="M125" i="61" l="1"/>
  <c r="R125" i="61"/>
  <c r="X125" i="61"/>
  <c r="U125" i="61"/>
  <c r="M126" i="61" l="1"/>
  <c r="X126" i="61"/>
  <c r="U126" i="61"/>
  <c r="R126" i="61"/>
  <c r="M127" i="61" l="1"/>
  <c r="U127" i="61"/>
  <c r="X127" i="61"/>
  <c r="R127" i="61"/>
  <c r="M128" i="61" l="1"/>
  <c r="R128" i="61"/>
  <c r="X128" i="61"/>
  <c r="U128" i="61"/>
  <c r="M129" i="61" l="1"/>
  <c r="X129" i="61"/>
  <c r="U129" i="61"/>
  <c r="R129" i="61"/>
  <c r="M130" i="61" l="1"/>
  <c r="X130" i="61"/>
  <c r="R130" i="61"/>
  <c r="U130" i="61"/>
  <c r="M131" i="61" l="1"/>
  <c r="X131" i="61"/>
  <c r="R131" i="61"/>
  <c r="U131" i="61"/>
  <c r="M132" i="61" l="1"/>
  <c r="R132" i="61"/>
  <c r="X132" i="61"/>
  <c r="U132" i="61"/>
  <c r="M133" i="61" l="1"/>
  <c r="X133" i="61"/>
  <c r="R133" i="61"/>
  <c r="U133" i="61"/>
  <c r="M134" i="61" l="1"/>
  <c r="U134" i="61"/>
  <c r="X134" i="61"/>
  <c r="R134" i="61"/>
  <c r="M135" i="61" l="1"/>
  <c r="X135" i="61"/>
  <c r="U135" i="61"/>
  <c r="R135" i="61"/>
  <c r="M136" i="61" l="1"/>
  <c r="U136" i="61"/>
  <c r="X136" i="61"/>
  <c r="R136" i="61"/>
  <c r="M137" i="61" l="1"/>
  <c r="X137" i="61"/>
  <c r="R137" i="61"/>
  <c r="U137" i="61"/>
  <c r="M138" i="61" l="1"/>
  <c r="U138" i="61"/>
  <c r="R138" i="61"/>
  <c r="X138" i="61"/>
  <c r="M139" i="61" l="1"/>
  <c r="X139" i="61"/>
  <c r="U139" i="61"/>
  <c r="R139" i="61"/>
  <c r="M140" i="61" l="1"/>
  <c r="U140" i="61"/>
  <c r="X140" i="61"/>
  <c r="R140" i="61"/>
  <c r="M141" i="61" l="1"/>
  <c r="U141" i="61"/>
  <c r="R141" i="61"/>
  <c r="X141" i="61"/>
  <c r="M142" i="61" l="1"/>
  <c r="X142" i="61"/>
  <c r="U142" i="61"/>
  <c r="R142" i="61"/>
  <c r="M143" i="61" l="1"/>
  <c r="R143" i="61"/>
  <c r="X143" i="61"/>
  <c r="U143" i="61"/>
  <c r="M144" i="61" l="1"/>
  <c r="R144" i="61"/>
  <c r="U144" i="61"/>
  <c r="X144" i="61"/>
  <c r="M145" i="61" l="1"/>
  <c r="U145" i="61"/>
  <c r="X145" i="61"/>
  <c r="R145" i="61"/>
  <c r="M146" i="61" l="1"/>
  <c r="R146" i="61"/>
  <c r="U146" i="61"/>
  <c r="X146" i="61"/>
  <c r="M147" i="61" l="1"/>
  <c r="X147" i="61"/>
  <c r="U147" i="61"/>
  <c r="R147" i="61"/>
  <c r="M148" i="61" l="1"/>
  <c r="X148" i="61"/>
  <c r="R148" i="61"/>
  <c r="U148" i="61"/>
  <c r="M149" i="61" l="1"/>
  <c r="X149" i="61"/>
  <c r="R149" i="61"/>
  <c r="U149" i="61"/>
  <c r="M150" i="61" l="1"/>
  <c r="R150" i="61"/>
  <c r="X150" i="61"/>
  <c r="U150" i="61"/>
  <c r="M151" i="61" l="1"/>
  <c r="U151" i="61"/>
  <c r="X151" i="61"/>
  <c r="R151" i="61"/>
  <c r="M152" i="61" l="1"/>
  <c r="X152" i="61"/>
  <c r="R152" i="61"/>
  <c r="U152" i="61"/>
  <c r="M153" i="61" l="1"/>
  <c r="X153" i="61"/>
  <c r="R153" i="61"/>
  <c r="U153" i="61"/>
  <c r="M154" i="61" l="1"/>
  <c r="X154" i="61"/>
  <c r="U154" i="61"/>
  <c r="R154" i="61"/>
  <c r="M155" i="61" l="1"/>
  <c r="X155" i="61"/>
  <c r="U155" i="61"/>
  <c r="R155" i="61"/>
  <c r="M156" i="61" l="1"/>
  <c r="X156" i="61"/>
  <c r="U156" i="61"/>
  <c r="R156" i="61"/>
  <c r="M157" i="61" l="1"/>
  <c r="U157" i="61"/>
  <c r="X157" i="61"/>
  <c r="R157" i="61"/>
  <c r="M158" i="61" l="1"/>
  <c r="X158" i="61"/>
  <c r="R158" i="61"/>
  <c r="U158" i="61"/>
  <c r="M159" i="61" l="1"/>
  <c r="R159" i="61"/>
  <c r="U159" i="61"/>
  <c r="X159" i="61"/>
  <c r="M160" i="61" l="1"/>
  <c r="U160" i="61"/>
  <c r="X160" i="61"/>
  <c r="R160" i="61"/>
  <c r="M161" i="61" l="1"/>
  <c r="U161" i="61"/>
  <c r="X161" i="61"/>
  <c r="R161" i="61"/>
  <c r="M162" i="61" l="1"/>
  <c r="X162" i="61"/>
  <c r="R162" i="61"/>
  <c r="U162" i="61"/>
  <c r="M163" i="61" l="1"/>
  <c r="X163" i="61"/>
  <c r="U163" i="61"/>
  <c r="R163" i="61"/>
  <c r="M164" i="61" l="1"/>
  <c r="R164" i="61"/>
  <c r="U164" i="61"/>
  <c r="X164" i="61"/>
  <c r="M165" i="61" l="1"/>
  <c r="X165" i="61"/>
  <c r="R165" i="61"/>
  <c r="U165" i="61"/>
  <c r="M166" i="61" l="1"/>
  <c r="U166" i="61"/>
  <c r="R166" i="61"/>
  <c r="X166" i="61"/>
  <c r="M167" i="61" l="1"/>
  <c r="X167" i="61"/>
  <c r="R167" i="61"/>
  <c r="U167" i="61"/>
  <c r="M168" i="61" l="1"/>
  <c r="U168" i="61"/>
  <c r="X168" i="61"/>
  <c r="R168" i="61"/>
  <c r="M169" i="61" l="1"/>
  <c r="X169" i="61"/>
  <c r="U169" i="61"/>
  <c r="R169" i="61"/>
  <c r="M170" i="61" l="1"/>
  <c r="R170" i="61"/>
  <c r="U170" i="61"/>
  <c r="X170" i="61"/>
  <c r="M171" i="61" l="1"/>
  <c r="X171" i="61"/>
  <c r="U171" i="61"/>
  <c r="R171" i="61"/>
  <c r="M172" i="61" l="1"/>
  <c r="X172" i="61"/>
  <c r="U172" i="61"/>
  <c r="R172" i="61"/>
  <c r="M173" i="61" l="1"/>
  <c r="X173" i="61"/>
  <c r="U173" i="61"/>
  <c r="R173" i="61"/>
  <c r="M174" i="61" l="1"/>
  <c r="R174" i="61"/>
  <c r="U174" i="61"/>
  <c r="X174" i="61"/>
  <c r="M175" i="61" l="1"/>
  <c r="X175" i="61"/>
  <c r="R175" i="61"/>
  <c r="U175" i="61"/>
  <c r="M176" i="61" l="1"/>
  <c r="U176" i="61"/>
  <c r="X176" i="61"/>
  <c r="R176" i="61"/>
  <c r="M177" i="61" l="1"/>
  <c r="R177" i="61"/>
  <c r="U177" i="61"/>
  <c r="X177" i="61"/>
  <c r="M178" i="61" l="1"/>
  <c r="X178" i="61"/>
  <c r="U178" i="61"/>
  <c r="R178" i="61"/>
  <c r="M179" i="61" l="1"/>
  <c r="U179" i="61"/>
  <c r="R179" i="61"/>
  <c r="X179" i="61"/>
  <c r="M180" i="61" l="1"/>
  <c r="R180" i="61"/>
  <c r="U180" i="61"/>
  <c r="X180" i="61"/>
  <c r="M181" i="61" l="1"/>
  <c r="X181" i="61"/>
  <c r="U181" i="61"/>
  <c r="R181" i="61"/>
  <c r="M182" i="61" l="1"/>
  <c r="X182" i="61"/>
  <c r="R182" i="61"/>
  <c r="U182" i="61"/>
  <c r="M183" i="61" l="1"/>
  <c r="R183" i="61"/>
  <c r="U183" i="61"/>
  <c r="X183" i="61"/>
  <c r="M184" i="61" l="1"/>
  <c r="U184" i="61"/>
  <c r="R184" i="61"/>
  <c r="X184" i="61"/>
  <c r="M185" i="61" l="1"/>
  <c r="X185" i="61"/>
  <c r="R185" i="61"/>
  <c r="U185" i="61"/>
  <c r="M186" i="61" l="1"/>
  <c r="U186" i="61"/>
  <c r="X186" i="61"/>
  <c r="R186" i="61"/>
  <c r="M187" i="61" l="1"/>
  <c r="X187" i="61"/>
  <c r="R187" i="61"/>
  <c r="U187" i="61"/>
  <c r="M188" i="61" l="1"/>
  <c r="U188" i="61"/>
  <c r="R188" i="61"/>
  <c r="X188" i="61"/>
  <c r="M189" i="61" l="1"/>
  <c r="U189" i="61"/>
  <c r="X189" i="61"/>
  <c r="R189" i="61"/>
  <c r="M190" i="61" l="1"/>
  <c r="R190" i="61"/>
  <c r="U190" i="61"/>
  <c r="X190" i="61"/>
  <c r="M191" i="61" l="1"/>
  <c r="U191" i="61"/>
  <c r="R191" i="61"/>
  <c r="X191" i="61"/>
  <c r="M192" i="61" l="1"/>
  <c r="U192" i="61"/>
  <c r="X192" i="61"/>
  <c r="R192" i="61"/>
  <c r="M193" i="61" l="1"/>
  <c r="U193" i="61"/>
  <c r="X193" i="61"/>
  <c r="R193" i="61"/>
  <c r="M194" i="61" l="1"/>
  <c r="X194" i="61"/>
  <c r="U194" i="61"/>
  <c r="R194" i="61"/>
  <c r="M195" i="61" l="1"/>
  <c r="U195" i="61"/>
  <c r="R195" i="61"/>
  <c r="X195" i="61"/>
  <c r="M196" i="61" l="1"/>
  <c r="R196" i="61"/>
  <c r="X196" i="61"/>
  <c r="U196" i="61"/>
  <c r="M197" i="61" l="1"/>
  <c r="U197" i="61"/>
  <c r="X197" i="61"/>
  <c r="R197" i="61"/>
  <c r="M198" i="61" l="1"/>
  <c r="U198" i="61"/>
  <c r="R198" i="61"/>
  <c r="X198" i="61"/>
  <c r="M199" i="61" l="1"/>
  <c r="R199" i="61"/>
  <c r="X199" i="61"/>
  <c r="U199" i="61"/>
  <c r="M200" i="61" l="1"/>
  <c r="U200" i="61"/>
  <c r="R200" i="61"/>
  <c r="X200" i="61"/>
  <c r="M201" i="61" l="1"/>
  <c r="X201" i="61"/>
  <c r="U201" i="61"/>
  <c r="R201" i="61"/>
  <c r="M202" i="61" l="1"/>
  <c r="R202" i="61"/>
  <c r="U202" i="61"/>
  <c r="X202" i="61"/>
  <c r="M203" i="61" l="1"/>
  <c r="R203" i="61"/>
  <c r="X203" i="61"/>
  <c r="U203" i="61"/>
  <c r="M204" i="61" l="1"/>
  <c r="R204" i="61"/>
  <c r="U204" i="61"/>
  <c r="X204" i="61"/>
  <c r="M205" i="61" l="1"/>
  <c r="X205" i="61"/>
  <c r="R205" i="61"/>
  <c r="U205" i="61"/>
  <c r="M206" i="61" l="1"/>
  <c r="U206" i="61"/>
  <c r="R206" i="61"/>
  <c r="X206" i="61"/>
  <c r="M207" i="61" l="1"/>
  <c r="X207" i="61"/>
  <c r="U207" i="61"/>
  <c r="R207" i="61"/>
  <c r="M208" i="61" l="1"/>
  <c r="R208" i="61"/>
  <c r="X208" i="61"/>
  <c r="U208" i="61"/>
  <c r="M209" i="61" l="1"/>
  <c r="X209" i="61"/>
  <c r="U209" i="61"/>
  <c r="R209" i="61"/>
  <c r="M210" i="61" l="1"/>
  <c r="U210" i="61"/>
  <c r="R210" i="61"/>
  <c r="X210" i="61"/>
  <c r="M211" i="61" l="1"/>
  <c r="X211" i="61"/>
  <c r="R211" i="61"/>
  <c r="U211" i="61"/>
  <c r="M212" i="61" l="1"/>
  <c r="X212" i="61"/>
  <c r="U212" i="61"/>
  <c r="R212" i="61"/>
  <c r="M213" i="61" l="1"/>
  <c r="U213" i="61"/>
  <c r="R213" i="61"/>
  <c r="X213" i="61"/>
  <c r="M214" i="61" l="1"/>
  <c r="X214" i="61"/>
  <c r="U214" i="61"/>
  <c r="R214" i="61"/>
  <c r="M215" i="61" l="1"/>
  <c r="U215" i="61"/>
  <c r="R215" i="61"/>
  <c r="X215" i="61"/>
  <c r="M216" i="61" l="1"/>
  <c r="R216" i="61"/>
  <c r="U216" i="61"/>
  <c r="X216" i="61"/>
  <c r="M217" i="61" l="1"/>
  <c r="X217" i="61"/>
  <c r="U217" i="61"/>
  <c r="R217" i="61"/>
  <c r="M218" i="61" l="1"/>
  <c r="X218" i="61"/>
  <c r="U218" i="61"/>
  <c r="R218" i="61"/>
  <c r="M219" i="61" l="1"/>
  <c r="R219" i="61"/>
  <c r="X219" i="61"/>
  <c r="U219" i="61"/>
  <c r="M220" i="61" l="1"/>
  <c r="X220" i="61"/>
  <c r="R220" i="61"/>
  <c r="U220" i="61"/>
  <c r="M221" i="61" l="1"/>
  <c r="U221" i="61"/>
  <c r="X221" i="61"/>
  <c r="R221" i="61"/>
  <c r="M222" i="61" l="1"/>
  <c r="X222" i="61"/>
  <c r="R222" i="61"/>
  <c r="U222" i="61"/>
  <c r="M223" i="61" l="1"/>
  <c r="U223" i="61"/>
  <c r="X223" i="61"/>
  <c r="R223" i="61"/>
  <c r="M224" i="61" l="1"/>
  <c r="U224" i="61"/>
  <c r="R224" i="61"/>
  <c r="X224" i="61"/>
  <c r="M225" i="61" l="1"/>
  <c r="U225" i="61"/>
  <c r="R225" i="61"/>
  <c r="X225" i="61"/>
  <c r="M226" i="61" l="1"/>
  <c r="X226" i="61"/>
  <c r="U226" i="61"/>
  <c r="R226" i="61"/>
  <c r="M227" i="61" l="1"/>
  <c r="R227" i="61"/>
  <c r="X227" i="61"/>
  <c r="U227" i="61"/>
  <c r="M228" i="61" l="1"/>
  <c r="R228" i="61"/>
  <c r="U228" i="61"/>
  <c r="X228" i="61"/>
  <c r="M229" i="61" l="1"/>
  <c r="R229" i="61"/>
  <c r="U229" i="61"/>
  <c r="X229" i="61"/>
  <c r="M230" i="61" l="1"/>
  <c r="R230" i="61"/>
  <c r="X230" i="61"/>
  <c r="U230" i="61"/>
  <c r="M231" i="61" l="1"/>
  <c r="U231" i="61"/>
  <c r="X231" i="61"/>
  <c r="R231" i="61"/>
  <c r="M232" i="61" l="1"/>
  <c r="X232" i="61"/>
  <c r="R232" i="61"/>
  <c r="U232" i="61"/>
  <c r="M233" i="61" l="1"/>
  <c r="X233" i="61"/>
  <c r="R233" i="61"/>
  <c r="U233" i="61"/>
  <c r="M234" i="61" l="1"/>
  <c r="X234" i="61"/>
  <c r="R234" i="61"/>
  <c r="U234" i="61"/>
  <c r="M235" i="61" l="1"/>
  <c r="R235" i="61"/>
  <c r="U235" i="61"/>
  <c r="X235" i="61"/>
  <c r="M236" i="61" l="1"/>
  <c r="X236" i="61"/>
  <c r="R236" i="61"/>
  <c r="U236" i="61"/>
  <c r="M237" i="61" l="1"/>
  <c r="R237" i="61"/>
  <c r="U237" i="61"/>
  <c r="X237" i="61"/>
  <c r="M238" i="61" l="1"/>
  <c r="U238" i="61"/>
  <c r="R238" i="61"/>
  <c r="X238" i="61"/>
  <c r="M239" i="61" l="1"/>
  <c r="X239" i="61"/>
  <c r="U239" i="61"/>
  <c r="R239" i="61"/>
  <c r="M240" i="61" l="1"/>
  <c r="U240" i="61"/>
  <c r="R240" i="61"/>
  <c r="X240" i="61"/>
  <c r="M241" i="61" l="1"/>
  <c r="X241" i="61"/>
  <c r="R241" i="61"/>
  <c r="U241" i="61"/>
  <c r="M242" i="61" l="1"/>
  <c r="R242" i="61"/>
  <c r="X242" i="61"/>
  <c r="U242" i="61"/>
  <c r="M243" i="61" l="1"/>
  <c r="U243" i="61"/>
  <c r="R243" i="61"/>
  <c r="X243" i="61"/>
  <c r="M244" i="61" l="1"/>
  <c r="U244" i="61"/>
  <c r="R244" i="61"/>
  <c r="X244" i="61"/>
  <c r="M245" i="61" l="1"/>
  <c r="R245" i="61"/>
  <c r="U245" i="61"/>
  <c r="X245" i="61"/>
  <c r="M246" i="61" l="1"/>
  <c r="X246" i="61"/>
  <c r="U246" i="61"/>
  <c r="R246" i="61"/>
  <c r="M247" i="61" l="1"/>
  <c r="X247" i="61"/>
  <c r="U247" i="61"/>
  <c r="R247" i="61"/>
  <c r="M248" i="61" l="1"/>
  <c r="X248" i="61"/>
  <c r="R248" i="61"/>
  <c r="U248" i="61"/>
  <c r="M249" i="61" l="1"/>
  <c r="U249" i="61"/>
  <c r="X249" i="61"/>
  <c r="R249" i="61"/>
  <c r="M250" i="61" l="1"/>
  <c r="U250" i="61"/>
  <c r="X250" i="61"/>
  <c r="R250" i="61"/>
  <c r="M251" i="61" l="1"/>
  <c r="X251" i="61"/>
  <c r="R251" i="61"/>
  <c r="U251" i="61"/>
  <c r="M252" i="61" l="1"/>
  <c r="U252" i="61"/>
  <c r="R252" i="61"/>
  <c r="X252" i="61"/>
  <c r="M253" i="61" l="1"/>
  <c r="R253" i="61"/>
  <c r="X253" i="61"/>
  <c r="U253" i="61"/>
  <c r="M254" i="61" l="1"/>
  <c r="R254" i="61"/>
  <c r="X254" i="61"/>
  <c r="U254" i="61"/>
  <c r="M255" i="61" l="1"/>
  <c r="R255" i="61"/>
  <c r="U255" i="61"/>
  <c r="X255" i="61"/>
  <c r="M256" i="61" l="1"/>
  <c r="X256" i="61"/>
  <c r="U256" i="61"/>
  <c r="R256" i="61"/>
  <c r="M257" i="61" l="1"/>
  <c r="X257" i="61"/>
  <c r="U257" i="61"/>
  <c r="R257" i="61"/>
  <c r="M258" i="61" l="1"/>
  <c r="X258" i="61"/>
  <c r="R258" i="61"/>
  <c r="U258" i="61"/>
  <c r="M259" i="61" l="1"/>
  <c r="U259" i="61"/>
  <c r="R259" i="61"/>
  <c r="X259" i="61"/>
  <c r="M260" i="61" l="1"/>
  <c r="X260" i="61"/>
  <c r="U260" i="61"/>
  <c r="R260" i="61"/>
  <c r="M261" i="61" l="1"/>
  <c r="U261" i="61"/>
  <c r="X261" i="61"/>
  <c r="R261" i="61"/>
  <c r="M262" i="61" l="1"/>
  <c r="R262" i="61"/>
  <c r="U262" i="61"/>
  <c r="X262" i="61"/>
  <c r="M263" i="61" l="1"/>
  <c r="R263" i="61"/>
  <c r="U263" i="61"/>
  <c r="X263" i="61"/>
  <c r="M264" i="61" l="1"/>
  <c r="U264" i="61"/>
  <c r="R264" i="61"/>
  <c r="X264" i="61"/>
  <c r="M265" i="61" l="1"/>
  <c r="X265" i="61"/>
  <c r="R265" i="61"/>
  <c r="U265" i="61"/>
  <c r="M266" i="61" l="1"/>
  <c r="X266" i="61"/>
  <c r="U266" i="61"/>
  <c r="R266" i="61"/>
  <c r="M267" i="61" l="1"/>
  <c r="R267" i="61"/>
  <c r="X267" i="61"/>
  <c r="U267" i="61"/>
  <c r="M268" i="61" l="1"/>
  <c r="U268" i="61"/>
  <c r="X268" i="61"/>
  <c r="R268" i="61"/>
  <c r="M269" i="61" l="1"/>
  <c r="X269" i="61"/>
  <c r="R269" i="61"/>
  <c r="U269" i="61"/>
  <c r="M270" i="61" l="1"/>
  <c r="R270" i="61"/>
  <c r="X270" i="61"/>
  <c r="U270" i="61"/>
  <c r="M271" i="61" l="1"/>
  <c r="X271" i="61"/>
  <c r="U271" i="61"/>
  <c r="R271" i="61"/>
  <c r="M272" i="61" l="1"/>
  <c r="R272" i="61"/>
  <c r="X272" i="61"/>
  <c r="U272" i="61"/>
  <c r="M273" i="61" l="1"/>
  <c r="U273" i="61"/>
  <c r="X273" i="61"/>
  <c r="R273" i="61"/>
  <c r="M274" i="61" l="1"/>
  <c r="U274" i="61"/>
  <c r="X274" i="61"/>
  <c r="R274" i="61"/>
  <c r="M275" i="61" l="1"/>
  <c r="X275" i="61"/>
  <c r="R275" i="61"/>
  <c r="U275" i="61"/>
  <c r="M276" i="61" l="1"/>
  <c r="X276" i="61"/>
  <c r="R276" i="61"/>
  <c r="U276" i="61"/>
  <c r="M277" i="61" l="1"/>
  <c r="R277" i="61"/>
  <c r="U277" i="61"/>
  <c r="X277" i="61"/>
  <c r="M278" i="61" l="1"/>
  <c r="U278" i="61"/>
  <c r="X278" i="61"/>
  <c r="R278" i="61"/>
  <c r="M279" i="61" l="1"/>
  <c r="R279" i="61"/>
  <c r="X279" i="61"/>
  <c r="U279" i="61"/>
  <c r="M280" i="61" l="1"/>
  <c r="R280" i="61"/>
  <c r="X280" i="61"/>
  <c r="U280" i="61"/>
  <c r="M281" i="61" l="1"/>
  <c r="R281" i="61"/>
  <c r="U281" i="61"/>
  <c r="X281" i="61"/>
  <c r="M282" i="61" l="1"/>
  <c r="U282" i="61"/>
  <c r="X282" i="61"/>
  <c r="R282" i="61"/>
  <c r="M283" i="61" l="1"/>
  <c r="R283" i="61"/>
  <c r="U283" i="61"/>
  <c r="X283" i="61"/>
  <c r="M284" i="61" l="1"/>
  <c r="U284" i="61"/>
  <c r="X284" i="61"/>
  <c r="R284" i="61"/>
  <c r="M285" i="61" l="1"/>
  <c r="R285" i="61"/>
  <c r="U285" i="61"/>
  <c r="X285" i="61"/>
  <c r="M286" i="61" l="1"/>
  <c r="U286" i="61"/>
  <c r="R286" i="61"/>
  <c r="X286" i="61"/>
  <c r="M287" i="61" l="1"/>
  <c r="U287" i="61"/>
  <c r="R287" i="61"/>
  <c r="X287" i="61"/>
  <c r="M288" i="61" l="1"/>
  <c r="R288" i="61"/>
  <c r="X288" i="61"/>
  <c r="U288" i="61"/>
  <c r="M289" i="61" l="1"/>
  <c r="R289" i="61"/>
  <c r="X289" i="61"/>
  <c r="U289" i="61"/>
  <c r="M290" i="61" l="1"/>
  <c r="X290" i="61"/>
  <c r="U290" i="61"/>
  <c r="R290" i="61"/>
  <c r="M291" i="61" l="1"/>
  <c r="R291" i="61"/>
  <c r="X291" i="61"/>
  <c r="U291" i="61"/>
  <c r="M292" i="61" l="1"/>
  <c r="U292" i="61"/>
  <c r="R292" i="61"/>
  <c r="X292" i="61"/>
  <c r="M293" i="61" l="1"/>
  <c r="U293" i="61"/>
  <c r="X293" i="61"/>
  <c r="R293" i="61"/>
  <c r="M294" i="61" l="1"/>
  <c r="R294" i="61"/>
  <c r="X294" i="61"/>
  <c r="U294" i="61"/>
  <c r="M295" i="61" l="1"/>
  <c r="U295" i="61"/>
  <c r="X295" i="61"/>
  <c r="R295" i="61"/>
  <c r="M296" i="61" l="1"/>
  <c r="R296" i="61"/>
  <c r="X296" i="61"/>
  <c r="U296" i="61"/>
  <c r="M297" i="61" l="1"/>
  <c r="U297" i="61"/>
  <c r="R297" i="61"/>
  <c r="X297" i="61"/>
  <c r="M298" i="61" l="1"/>
  <c r="R298" i="61"/>
  <c r="U298" i="61"/>
  <c r="X298" i="61"/>
  <c r="M299" i="61" l="1"/>
  <c r="R299" i="61"/>
  <c r="X299" i="61"/>
  <c r="U299" i="61"/>
  <c r="M300" i="61" l="1"/>
  <c r="R300" i="61"/>
  <c r="X300" i="61"/>
  <c r="U300" i="61"/>
  <c r="M301" i="61" l="1"/>
  <c r="X301" i="61"/>
  <c r="U301" i="61"/>
  <c r="R301" i="61"/>
  <c r="M302" i="61" l="1"/>
  <c r="X302" i="61"/>
  <c r="U302" i="61"/>
  <c r="R302" i="61"/>
  <c r="M303" i="61" l="1"/>
  <c r="U303" i="61"/>
  <c r="R303" i="61"/>
  <c r="X303" i="61"/>
  <c r="M304" i="61" l="1"/>
  <c r="R304" i="61"/>
  <c r="U304" i="61"/>
  <c r="X304" i="61"/>
  <c r="M305" i="61" l="1"/>
  <c r="X305" i="61"/>
  <c r="R305" i="61"/>
  <c r="U305" i="61"/>
  <c r="M306" i="61" l="1"/>
  <c r="U306" i="61"/>
  <c r="X306" i="61"/>
  <c r="R306" i="61"/>
  <c r="M307" i="61" l="1"/>
  <c r="U307" i="61"/>
  <c r="R307" i="61"/>
  <c r="X307" i="61"/>
  <c r="M308" i="61" l="1"/>
  <c r="R308" i="61"/>
  <c r="X308" i="61"/>
  <c r="U308" i="61"/>
  <c r="M309" i="61" l="1"/>
  <c r="X309" i="61"/>
  <c r="R309" i="61"/>
  <c r="U309" i="61"/>
  <c r="M310" i="61" l="1"/>
  <c r="R310" i="61"/>
  <c r="X310" i="61"/>
  <c r="U310" i="61"/>
  <c r="M311" i="61" l="1"/>
  <c r="U311" i="61"/>
  <c r="X311" i="61"/>
  <c r="R311" i="61"/>
  <c r="M312" i="61" l="1"/>
  <c r="U312" i="61"/>
  <c r="X312" i="61"/>
  <c r="R312" i="61"/>
  <c r="M313" i="61" l="1"/>
  <c r="U313" i="61"/>
  <c r="R313" i="61"/>
  <c r="X313" i="61"/>
  <c r="M314" i="61" l="1"/>
  <c r="R314" i="61"/>
  <c r="X314" i="61"/>
  <c r="U314" i="61"/>
  <c r="M315" i="61" l="1"/>
  <c r="U315" i="61"/>
  <c r="R315" i="61"/>
  <c r="X315" i="61"/>
  <c r="M316" i="61" l="1"/>
  <c r="U316" i="61"/>
  <c r="R316" i="61"/>
  <c r="X316" i="61"/>
  <c r="M317" i="61" l="1"/>
  <c r="U317" i="61"/>
  <c r="R317" i="61"/>
  <c r="X317" i="61"/>
  <c r="M318" i="61" l="1"/>
  <c r="X318" i="61"/>
  <c r="R318" i="61"/>
  <c r="U318" i="61"/>
  <c r="M319" i="61" l="1"/>
  <c r="X319" i="61"/>
  <c r="U319" i="61"/>
  <c r="R319" i="61"/>
  <c r="M320" i="61" l="1"/>
  <c r="X320" i="61"/>
  <c r="U320" i="61"/>
  <c r="R320" i="61"/>
  <c r="M321" i="61" l="1"/>
  <c r="X321" i="61"/>
  <c r="R321" i="61"/>
  <c r="U321" i="61"/>
  <c r="M322" i="61" l="1"/>
  <c r="R322" i="61"/>
  <c r="U322" i="61"/>
  <c r="X322" i="61"/>
  <c r="M323" i="61" l="1"/>
  <c r="R323" i="61"/>
  <c r="U323" i="61"/>
  <c r="X323" i="61"/>
  <c r="M324" i="61" l="1"/>
  <c r="X324" i="61"/>
  <c r="R324" i="61"/>
  <c r="U324" i="61"/>
  <c r="M325" i="61" l="1"/>
  <c r="X325" i="61"/>
  <c r="R325" i="61"/>
  <c r="U325" i="61"/>
  <c r="M326" i="61" l="1"/>
  <c r="U326" i="61"/>
  <c r="X326" i="61"/>
  <c r="R326" i="61"/>
  <c r="M327" i="61" l="1"/>
  <c r="R327" i="61"/>
  <c r="U327" i="61"/>
  <c r="X327" i="61"/>
  <c r="M328" i="61" l="1"/>
  <c r="R328" i="61"/>
  <c r="U328" i="61"/>
  <c r="X328" i="61"/>
  <c r="M329" i="61" l="1"/>
  <c r="X329" i="61"/>
  <c r="U329" i="61"/>
  <c r="R329" i="61"/>
  <c r="M330" i="61" l="1"/>
  <c r="R330" i="61"/>
  <c r="U330" i="61"/>
  <c r="X330" i="61"/>
  <c r="M331" i="61" l="1"/>
  <c r="R331" i="61"/>
  <c r="U331" i="61"/>
  <c r="X331" i="61"/>
  <c r="M332" i="61" l="1"/>
  <c r="X332" i="61"/>
  <c r="R332" i="61"/>
  <c r="U332" i="61"/>
  <c r="M333" i="61" l="1"/>
  <c r="X333" i="61"/>
  <c r="R333" i="61"/>
  <c r="U333" i="61"/>
  <c r="M334" i="61" l="1"/>
  <c r="R334" i="61"/>
  <c r="X334" i="61"/>
  <c r="U334" i="61"/>
  <c r="M335" i="61" l="1"/>
  <c r="R335" i="61"/>
  <c r="X335" i="61"/>
  <c r="U335" i="61"/>
  <c r="M336" i="61" l="1"/>
  <c r="X336" i="61"/>
  <c r="U336" i="61"/>
  <c r="R336" i="61"/>
  <c r="M337" i="61" l="1"/>
  <c r="U337" i="61"/>
  <c r="X337" i="61"/>
  <c r="R337" i="61"/>
  <c r="M338" i="61" l="1"/>
  <c r="X338" i="61"/>
  <c r="R338" i="61"/>
  <c r="U338" i="61"/>
  <c r="M339" i="61" l="1"/>
  <c r="U339" i="61"/>
  <c r="R339" i="61"/>
  <c r="X339" i="61"/>
  <c r="M340" i="61" l="1"/>
  <c r="U340" i="61"/>
  <c r="X340" i="61"/>
  <c r="R340" i="61"/>
  <c r="M341" i="61" l="1"/>
  <c r="X341" i="61"/>
  <c r="R341" i="61"/>
  <c r="U341" i="61"/>
  <c r="M342" i="61" l="1"/>
  <c r="U342" i="61"/>
  <c r="X342" i="61"/>
  <c r="R342" i="61"/>
  <c r="M343" i="61" l="1"/>
  <c r="X343" i="61"/>
  <c r="R343" i="61"/>
  <c r="U343" i="61"/>
  <c r="M344" i="61" l="1"/>
  <c r="X344" i="61"/>
  <c r="U344" i="61"/>
  <c r="R344" i="61"/>
  <c r="M345" i="61" l="1"/>
  <c r="U345" i="61"/>
  <c r="X345" i="61"/>
  <c r="R345" i="61"/>
  <c r="M346" i="61" l="1"/>
  <c r="U346" i="61"/>
  <c r="R346" i="61"/>
  <c r="X346" i="61"/>
  <c r="M347" i="61" l="1"/>
  <c r="X347" i="61"/>
  <c r="R347" i="61"/>
  <c r="U347" i="61"/>
  <c r="M348" i="61" l="1"/>
  <c r="U348" i="61"/>
  <c r="R348" i="61"/>
  <c r="X348" i="61"/>
  <c r="M349" i="61" l="1"/>
  <c r="U349" i="61"/>
  <c r="X349" i="61"/>
  <c r="R349" i="61"/>
  <c r="M350" i="61" l="1"/>
  <c r="X350" i="61"/>
  <c r="U350" i="61"/>
  <c r="R350" i="61"/>
  <c r="M351" i="61" l="1"/>
  <c r="R351" i="61"/>
  <c r="X351" i="61"/>
  <c r="U351" i="61"/>
  <c r="M352" i="61" l="1"/>
  <c r="R352" i="61"/>
  <c r="U352" i="61"/>
  <c r="X352" i="61"/>
  <c r="M353" i="61" l="1"/>
  <c r="U353" i="61"/>
  <c r="R353" i="61"/>
  <c r="X353" i="61"/>
  <c r="M354" i="61" l="1"/>
  <c r="X354" i="61"/>
  <c r="U354" i="61"/>
  <c r="R354" i="61"/>
  <c r="M355" i="61" l="1"/>
  <c r="R355" i="61"/>
  <c r="X355" i="61"/>
  <c r="U355" i="61"/>
  <c r="M356" i="61" l="1"/>
  <c r="R356" i="61"/>
  <c r="X356" i="61"/>
  <c r="U356" i="61"/>
  <c r="M357" i="61" l="1"/>
  <c r="X357" i="61"/>
  <c r="R357" i="61"/>
  <c r="U357" i="61"/>
  <c r="M358" i="61" l="1"/>
  <c r="R358" i="61"/>
  <c r="X358" i="61"/>
  <c r="U358" i="61"/>
  <c r="M359" i="61" l="1"/>
  <c r="X359" i="61"/>
  <c r="R359" i="61"/>
  <c r="U359" i="61"/>
  <c r="M360" i="61" l="1"/>
  <c r="R360" i="61"/>
  <c r="X360" i="61"/>
  <c r="U360" i="61"/>
  <c r="M361" i="61" l="1"/>
  <c r="U361" i="61"/>
  <c r="X361" i="61"/>
  <c r="R361" i="61"/>
  <c r="M362" i="61" l="1"/>
  <c r="U362" i="61"/>
  <c r="R362" i="61"/>
  <c r="X362" i="61"/>
  <c r="M363" i="61" l="1"/>
  <c r="R363" i="61"/>
  <c r="X363" i="61"/>
  <c r="U363" i="61"/>
  <c r="M364" i="61" l="1"/>
  <c r="X364" i="61"/>
  <c r="U364" i="61"/>
  <c r="R364" i="61"/>
  <c r="M365" i="61" l="1"/>
  <c r="U365" i="61"/>
  <c r="X365" i="61"/>
  <c r="R365" i="61"/>
  <c r="M366" i="61" l="1"/>
  <c r="U366" i="61"/>
  <c r="X366" i="61"/>
  <c r="R366" i="61"/>
  <c r="M367" i="61" l="1"/>
  <c r="X367" i="61"/>
  <c r="U367" i="61"/>
  <c r="R367" i="61"/>
  <c r="M368" i="61" l="1"/>
  <c r="R368" i="61"/>
  <c r="U368" i="61"/>
  <c r="X368" i="61"/>
  <c r="M369" i="61" l="1"/>
  <c r="X369" i="61"/>
  <c r="U369" i="61"/>
  <c r="R369" i="61"/>
  <c r="M370" i="61" l="1"/>
  <c r="X370" i="61"/>
  <c r="U370" i="61"/>
  <c r="R370" i="61"/>
  <c r="M371" i="61" l="1"/>
  <c r="R371" i="61"/>
  <c r="X371" i="61"/>
  <c r="U371" i="61"/>
  <c r="M372" i="61" l="1"/>
  <c r="X372" i="61"/>
  <c r="R372" i="61"/>
  <c r="U372" i="61"/>
  <c r="M373" i="61" l="1"/>
  <c r="R373" i="61"/>
  <c r="U373" i="61"/>
  <c r="X373" i="61"/>
  <c r="M374" i="61" l="1"/>
  <c r="X374" i="61"/>
  <c r="R374" i="61"/>
  <c r="U374" i="61"/>
  <c r="M375" i="61" l="1"/>
  <c r="U375" i="61"/>
  <c r="R375" i="61"/>
  <c r="X375" i="61"/>
  <c r="M376" i="61" l="1"/>
  <c r="U376" i="61"/>
  <c r="X376" i="61"/>
  <c r="R376" i="61"/>
  <c r="M377" i="61" l="1"/>
  <c r="X377" i="61"/>
  <c r="U377" i="61"/>
  <c r="R377" i="61"/>
  <c r="M378" i="61" l="1"/>
  <c r="R378" i="61"/>
  <c r="X378" i="61"/>
  <c r="U378" i="61"/>
  <c r="M379" i="61" l="1"/>
  <c r="R379" i="61"/>
  <c r="U379" i="61"/>
  <c r="X379" i="61"/>
  <c r="M380" i="61" l="1"/>
  <c r="R380" i="61"/>
  <c r="U380" i="61"/>
  <c r="X380" i="61"/>
  <c r="M381" i="61" l="1"/>
  <c r="R381" i="61"/>
  <c r="U381" i="61"/>
  <c r="X381" i="61"/>
  <c r="M382" i="61" l="1"/>
  <c r="U382" i="61"/>
  <c r="R382" i="61"/>
  <c r="X382" i="61"/>
  <c r="M383" i="61" l="1"/>
  <c r="X383" i="61"/>
  <c r="U383" i="61"/>
  <c r="R383" i="61"/>
  <c r="M384" i="61" l="1"/>
  <c r="X384" i="61"/>
  <c r="R384" i="61"/>
  <c r="U384" i="61"/>
  <c r="M385" i="61" l="1"/>
  <c r="R385" i="61"/>
  <c r="U385" i="61"/>
  <c r="X385" i="61"/>
  <c r="M386" i="61" l="1"/>
  <c r="X386" i="61"/>
  <c r="U386" i="61"/>
  <c r="R386" i="61"/>
  <c r="M387" i="61" l="1"/>
  <c r="X387" i="61"/>
  <c r="U387" i="61"/>
  <c r="R387" i="61"/>
  <c r="M388" i="61" l="1"/>
  <c r="X388" i="61"/>
  <c r="R388" i="61"/>
  <c r="U388" i="61"/>
  <c r="M389" i="61" l="1"/>
  <c r="X389" i="61"/>
  <c r="U389" i="61"/>
  <c r="R389" i="61"/>
  <c r="M390" i="61" l="1"/>
  <c r="R390" i="61"/>
  <c r="X390" i="61"/>
  <c r="U390" i="61"/>
  <c r="M391" i="61" l="1"/>
  <c r="U391" i="61"/>
  <c r="R391" i="61"/>
  <c r="X391" i="61"/>
  <c r="M392" i="61" l="1"/>
  <c r="X392" i="61"/>
  <c r="R392" i="61"/>
  <c r="U392" i="61"/>
  <c r="M393" i="61" l="1"/>
  <c r="R393" i="61"/>
  <c r="X393" i="61"/>
  <c r="U393" i="61"/>
  <c r="M394" i="61" l="1"/>
  <c r="U394" i="61"/>
  <c r="X394" i="61"/>
  <c r="R394" i="61"/>
  <c r="M395" i="61" l="1"/>
  <c r="U395" i="61"/>
  <c r="X395" i="61"/>
  <c r="R395" i="61"/>
  <c r="M396" i="61" l="1"/>
  <c r="X396" i="61"/>
  <c r="R396" i="61"/>
  <c r="U396" i="61"/>
  <c r="M397" i="61" l="1"/>
  <c r="X397" i="61"/>
  <c r="R397" i="61"/>
  <c r="U397" i="61"/>
  <c r="M398" i="61" l="1"/>
  <c r="R398" i="61"/>
  <c r="U398" i="61"/>
  <c r="X398" i="61"/>
  <c r="M399" i="61" l="1"/>
  <c r="X399" i="61"/>
  <c r="R399" i="61"/>
  <c r="U399" i="61"/>
  <c r="M400" i="61" l="1"/>
  <c r="U400" i="61"/>
  <c r="X400" i="61"/>
  <c r="R400" i="61"/>
  <c r="M401" i="61" l="1"/>
  <c r="R401" i="61"/>
  <c r="X401" i="61"/>
  <c r="U401" i="61"/>
  <c r="M402" i="61" l="1"/>
  <c r="U402" i="61"/>
  <c r="R402" i="61"/>
  <c r="X402" i="61"/>
  <c r="M403" i="61" l="1"/>
  <c r="X403" i="61"/>
  <c r="U403" i="61"/>
  <c r="R403" i="61"/>
  <c r="M404" i="61" l="1"/>
  <c r="X404" i="61"/>
  <c r="U404" i="61"/>
  <c r="R404" i="61"/>
  <c r="M405" i="61" l="1"/>
  <c r="R405" i="61"/>
  <c r="X405" i="61"/>
  <c r="U405" i="61"/>
  <c r="M406" i="61" l="1"/>
  <c r="U406" i="61"/>
  <c r="X406" i="61"/>
  <c r="R406" i="61"/>
  <c r="M407" i="61" l="1"/>
  <c r="U407" i="61"/>
  <c r="X407" i="61"/>
  <c r="R407" i="61"/>
  <c r="M408" i="61" l="1"/>
  <c r="X408" i="61"/>
  <c r="R408" i="61"/>
  <c r="U408" i="61"/>
  <c r="M409" i="61" l="1"/>
  <c r="X409" i="61"/>
  <c r="R409" i="61"/>
  <c r="U409" i="61"/>
  <c r="M410" i="61" l="1"/>
  <c r="U410" i="61"/>
  <c r="X410" i="61"/>
  <c r="R410" i="61"/>
  <c r="M411" i="61" l="1"/>
  <c r="R411" i="61"/>
  <c r="X411" i="61"/>
  <c r="U411" i="61"/>
  <c r="M412" i="61" l="1"/>
  <c r="R412" i="61"/>
  <c r="U412" i="61"/>
  <c r="X412" i="61"/>
  <c r="M413" i="61" l="1"/>
  <c r="X413" i="61"/>
  <c r="R413" i="61"/>
  <c r="U413" i="61"/>
  <c r="M414" i="61" l="1"/>
  <c r="R414" i="61"/>
  <c r="X414" i="61"/>
  <c r="U414" i="61"/>
  <c r="M415" i="61" l="1"/>
  <c r="X415" i="61"/>
  <c r="R415" i="61"/>
  <c r="U415" i="61"/>
  <c r="M416" i="61" l="1"/>
  <c r="R416" i="61"/>
  <c r="X416" i="61"/>
  <c r="U416" i="61"/>
  <c r="M417" i="61" l="1"/>
  <c r="R417" i="61"/>
  <c r="X417" i="61"/>
  <c r="U417" i="61"/>
  <c r="M418" i="61" l="1"/>
  <c r="R418" i="61"/>
  <c r="U418" i="61"/>
  <c r="X418" i="61"/>
  <c r="M419" i="61" l="1"/>
  <c r="X419" i="61"/>
  <c r="U419" i="61"/>
  <c r="R419" i="61"/>
  <c r="M420" i="61" l="1"/>
  <c r="U420" i="61"/>
  <c r="X420" i="61"/>
  <c r="R420" i="61"/>
  <c r="M421" i="61" l="1"/>
  <c r="X421" i="61"/>
  <c r="U421" i="61"/>
  <c r="R421" i="61"/>
  <c r="M422" i="61" l="1"/>
  <c r="X422" i="61"/>
  <c r="R422" i="61"/>
  <c r="U422" i="61"/>
  <c r="M423" i="61" l="1"/>
  <c r="X423" i="61"/>
  <c r="R423" i="61"/>
  <c r="U423" i="61"/>
  <c r="M424" i="61" l="1"/>
  <c r="R424" i="61"/>
  <c r="X424" i="61"/>
  <c r="U424" i="61"/>
  <c r="M425" i="61" l="1"/>
  <c r="U425" i="61"/>
  <c r="X425" i="61"/>
  <c r="R425" i="61"/>
  <c r="M426" i="61" l="1"/>
  <c r="R426" i="61"/>
  <c r="U426" i="61"/>
  <c r="X426" i="61"/>
  <c r="M427" i="61" l="1"/>
  <c r="U427" i="61"/>
  <c r="R427" i="61"/>
  <c r="X427" i="61"/>
  <c r="M428" i="61" l="1"/>
  <c r="R428" i="61"/>
  <c r="U428" i="61"/>
  <c r="X428" i="61"/>
  <c r="M429" i="61" l="1"/>
  <c r="R429" i="61"/>
  <c r="U429" i="61"/>
  <c r="X429" i="61"/>
  <c r="M430" i="61" l="1"/>
  <c r="R430" i="61"/>
  <c r="X430" i="61"/>
  <c r="U430" i="61"/>
  <c r="M431" i="61" l="1"/>
  <c r="X431" i="61"/>
  <c r="R431" i="61"/>
  <c r="U431" i="61"/>
  <c r="M432" i="61" l="1"/>
  <c r="R432" i="61"/>
  <c r="X432" i="61"/>
  <c r="U432" i="61"/>
  <c r="M433" i="61" l="1"/>
  <c r="U433" i="61"/>
  <c r="R433" i="61"/>
  <c r="X433" i="61"/>
  <c r="M434" i="61" l="1"/>
  <c r="R434" i="61"/>
  <c r="X434" i="61"/>
  <c r="U434" i="61"/>
  <c r="M435" i="61" l="1"/>
  <c r="U435" i="61"/>
  <c r="R435" i="61"/>
  <c r="X435" i="61"/>
  <c r="M436" i="61" l="1"/>
  <c r="R436" i="61"/>
  <c r="U436" i="61"/>
  <c r="X436" i="61"/>
  <c r="M437" i="61" l="1"/>
  <c r="R437" i="61"/>
  <c r="X437" i="61"/>
  <c r="U437" i="61"/>
  <c r="M438" i="61" l="1"/>
  <c r="R438" i="61"/>
  <c r="U438" i="61"/>
  <c r="X438" i="61"/>
  <c r="M439" i="61" l="1"/>
  <c r="U439" i="61"/>
  <c r="X439" i="61"/>
  <c r="R439" i="61"/>
  <c r="M440" i="61" l="1"/>
  <c r="R440" i="61"/>
  <c r="X440" i="61"/>
  <c r="U440" i="61"/>
  <c r="M441" i="61" l="1"/>
  <c r="U441" i="61"/>
  <c r="R441" i="61"/>
  <c r="X441" i="61"/>
  <c r="M442" i="61" l="1"/>
  <c r="U442" i="61"/>
  <c r="R442" i="61"/>
  <c r="X442" i="61"/>
  <c r="M443" i="61" l="1"/>
  <c r="X443" i="61"/>
  <c r="U443" i="61"/>
  <c r="R443" i="61"/>
  <c r="M444" i="61" l="1"/>
  <c r="X444" i="61"/>
  <c r="R444" i="61"/>
  <c r="U444" i="61"/>
  <c r="M445" i="61" l="1"/>
  <c r="U445" i="61"/>
  <c r="X445" i="61"/>
  <c r="R445" i="61"/>
  <c r="M446" i="61" l="1"/>
  <c r="R446" i="61"/>
  <c r="U446" i="61"/>
  <c r="X446" i="61"/>
  <c r="M447" i="61" l="1"/>
  <c r="U447" i="61"/>
  <c r="R447" i="61"/>
  <c r="X447" i="61"/>
  <c r="M448" i="61" l="1"/>
  <c r="U448" i="61"/>
  <c r="R448" i="61"/>
  <c r="X448" i="61"/>
  <c r="M449" i="61" l="1"/>
  <c r="X449" i="61"/>
  <c r="R449" i="61"/>
  <c r="U449" i="61"/>
  <c r="M450" i="61" l="1"/>
  <c r="R450" i="61"/>
  <c r="U450" i="61"/>
  <c r="X450" i="61"/>
  <c r="M451" i="61" l="1"/>
  <c r="X451" i="61"/>
  <c r="U451" i="61"/>
  <c r="R451" i="61"/>
  <c r="M452" i="61" l="1"/>
  <c r="X452" i="61"/>
  <c r="U452" i="61"/>
  <c r="R452" i="61"/>
  <c r="M453" i="61" l="1"/>
  <c r="X453" i="61"/>
  <c r="U453" i="61"/>
  <c r="R453" i="61"/>
  <c r="M454" i="61" l="1"/>
  <c r="X454" i="61"/>
  <c r="U454" i="61"/>
  <c r="R454" i="61"/>
  <c r="M455" i="61" l="1"/>
  <c r="X455" i="61"/>
  <c r="R455" i="61"/>
  <c r="U455" i="61"/>
  <c r="M456" i="61" l="1"/>
  <c r="X456" i="61"/>
  <c r="U456" i="61"/>
  <c r="R456" i="61"/>
  <c r="M457" i="61" l="1"/>
  <c r="U457" i="61"/>
  <c r="R457" i="61"/>
  <c r="X457" i="61"/>
  <c r="M458" i="61" l="1"/>
  <c r="U458" i="61"/>
  <c r="R458" i="61"/>
  <c r="X458" i="61"/>
  <c r="M459" i="61" l="1"/>
  <c r="X459" i="61"/>
  <c r="U459" i="61"/>
  <c r="R459" i="61"/>
  <c r="M460" i="61" l="1"/>
  <c r="R460" i="61"/>
  <c r="X460" i="61"/>
  <c r="U460" i="61"/>
  <c r="M461" i="61" l="1"/>
  <c r="X461" i="61"/>
  <c r="U461" i="61"/>
  <c r="R461" i="61"/>
  <c r="M462" i="61" l="1"/>
  <c r="U462" i="61"/>
  <c r="R462" i="61"/>
  <c r="X462" i="61"/>
  <c r="M463" i="61" l="1"/>
  <c r="X463" i="61"/>
  <c r="R463" i="61"/>
  <c r="U463" i="61"/>
  <c r="M464" i="61" l="1"/>
  <c r="U464" i="61"/>
  <c r="R464" i="61"/>
  <c r="X464" i="61"/>
  <c r="M465" i="61" l="1"/>
  <c r="U465" i="61"/>
  <c r="R465" i="61"/>
  <c r="X465" i="61"/>
  <c r="M466" i="61" l="1"/>
  <c r="X466" i="61"/>
  <c r="U466" i="61"/>
  <c r="R466" i="61"/>
  <c r="M467" i="61" l="1"/>
  <c r="R467" i="61"/>
  <c r="U467" i="61"/>
  <c r="X467" i="61"/>
  <c r="M468" i="61" l="1"/>
  <c r="R468" i="61"/>
  <c r="U468" i="61"/>
  <c r="X468" i="61"/>
  <c r="M469" i="61" l="1"/>
  <c r="X469" i="61"/>
  <c r="U469" i="61"/>
  <c r="R469" i="61"/>
  <c r="M470" i="61" l="1"/>
  <c r="X470" i="61"/>
  <c r="U470" i="61"/>
  <c r="R470" i="61"/>
  <c r="M471" i="61" l="1"/>
  <c r="X471" i="61"/>
  <c r="R471" i="61"/>
  <c r="U471" i="61"/>
  <c r="M472" i="61" l="1"/>
  <c r="X472" i="61"/>
  <c r="U472" i="61"/>
  <c r="R472" i="61"/>
  <c r="M473" i="61" l="1"/>
  <c r="R473" i="61"/>
  <c r="X473" i="61"/>
  <c r="U473" i="61"/>
  <c r="M474" i="61" l="1"/>
  <c r="X474" i="61"/>
  <c r="U474" i="61"/>
  <c r="R474" i="61"/>
  <c r="M475" i="61" l="1"/>
  <c r="R475" i="61"/>
  <c r="X475" i="61"/>
  <c r="U475" i="61"/>
  <c r="M476" i="61" l="1"/>
  <c r="X476" i="61"/>
  <c r="U476" i="61"/>
  <c r="R476" i="61"/>
  <c r="M477" i="61" l="1"/>
  <c r="R477" i="61"/>
  <c r="U477" i="61"/>
  <c r="X477" i="61"/>
  <c r="M478" i="61" l="1"/>
  <c r="X478" i="61"/>
  <c r="U478" i="61"/>
  <c r="R478" i="61"/>
  <c r="M479" i="61" l="1"/>
  <c r="X479" i="61"/>
  <c r="R479" i="61"/>
  <c r="U479" i="61"/>
  <c r="M480" i="61" l="1"/>
  <c r="U480" i="61"/>
  <c r="R480" i="61"/>
  <c r="X480" i="61"/>
  <c r="M481" i="61" l="1"/>
  <c r="U481" i="61"/>
  <c r="X481" i="61"/>
  <c r="R481" i="61"/>
  <c r="M482" i="61" l="1"/>
  <c r="U482" i="61"/>
  <c r="X482" i="61"/>
  <c r="R482" i="61"/>
  <c r="M483" i="61" l="1"/>
  <c r="R483" i="61"/>
  <c r="X483" i="61"/>
  <c r="U483" i="61"/>
  <c r="M484" i="61" l="1"/>
  <c r="U484" i="61"/>
  <c r="R484" i="61"/>
  <c r="X484" i="61"/>
  <c r="M485" i="61" l="1"/>
  <c r="R485" i="61"/>
  <c r="X485" i="61"/>
  <c r="U485" i="61"/>
  <c r="M486" i="61" l="1"/>
  <c r="X486" i="61"/>
  <c r="R486" i="61"/>
  <c r="U486" i="61"/>
  <c r="M487" i="61" l="1"/>
  <c r="X487" i="61"/>
  <c r="U487" i="61"/>
  <c r="R487" i="61"/>
  <c r="M488" i="61" l="1"/>
  <c r="X488" i="61"/>
  <c r="U488" i="61"/>
  <c r="R488" i="61"/>
  <c r="M489" i="61" l="1"/>
  <c r="X489" i="61"/>
  <c r="U489" i="61"/>
  <c r="R489" i="61"/>
  <c r="M490" i="61" l="1"/>
  <c r="R490" i="61"/>
  <c r="U490" i="61"/>
  <c r="X490" i="61"/>
  <c r="M491" i="61" l="1"/>
  <c r="X491" i="61"/>
  <c r="R491" i="61"/>
  <c r="U491" i="61"/>
  <c r="M492" i="61" l="1"/>
  <c r="R492" i="61"/>
  <c r="U492" i="61"/>
  <c r="X492" i="61"/>
  <c r="M493" i="61" l="1"/>
  <c r="X493" i="61"/>
  <c r="R493" i="61"/>
  <c r="U493" i="61"/>
  <c r="M494" i="61" l="1"/>
  <c r="U494" i="61"/>
  <c r="R494" i="61"/>
  <c r="X494" i="61"/>
  <c r="M495" i="61" l="1"/>
  <c r="R495" i="61"/>
  <c r="U495" i="61"/>
  <c r="X495" i="61"/>
  <c r="M496" i="61" l="1"/>
  <c r="X496" i="61"/>
  <c r="U496" i="61"/>
  <c r="R496" i="61"/>
  <c r="M497" i="61" l="1"/>
  <c r="R497" i="61"/>
  <c r="U497" i="61"/>
  <c r="X497" i="61"/>
  <c r="M498" i="61" l="1"/>
  <c r="X498" i="61"/>
  <c r="R498" i="61"/>
  <c r="U498" i="61"/>
  <c r="M499" i="61" l="1"/>
  <c r="R499" i="61"/>
  <c r="X499" i="61"/>
  <c r="U499" i="61"/>
  <c r="M500" i="61" l="1"/>
  <c r="X500" i="61"/>
  <c r="U500" i="61"/>
  <c r="R500" i="61"/>
  <c r="M501" i="61" l="1"/>
  <c r="X501" i="61"/>
  <c r="U501" i="61"/>
  <c r="R501" i="61"/>
  <c r="M502" i="61" l="1"/>
  <c r="R502" i="61"/>
  <c r="X502" i="61"/>
  <c r="U502" i="61"/>
  <c r="M503" i="61" l="1"/>
  <c r="U503" i="61"/>
  <c r="R503" i="61"/>
  <c r="X503" i="61"/>
  <c r="M504" i="61" l="1"/>
  <c r="U504" i="61"/>
  <c r="R504" i="61"/>
  <c r="X504" i="61"/>
  <c r="M505" i="61" l="1"/>
  <c r="U505" i="61"/>
  <c r="X505" i="61"/>
  <c r="R505" i="61"/>
  <c r="M506" i="61" l="1"/>
  <c r="U506" i="61"/>
  <c r="R506" i="61"/>
  <c r="X506" i="61"/>
  <c r="M507" i="61" l="1"/>
  <c r="R507" i="61"/>
  <c r="U507" i="61"/>
  <c r="X507" i="61"/>
  <c r="M508" i="61" l="1"/>
  <c r="U508" i="61"/>
  <c r="R508" i="61"/>
  <c r="X508" i="61"/>
  <c r="M509" i="61" l="1"/>
  <c r="R509" i="61"/>
  <c r="X509" i="61"/>
  <c r="U509" i="61"/>
  <c r="M510" i="61" l="1"/>
  <c r="U510" i="61"/>
  <c r="X510" i="61"/>
  <c r="R510" i="61"/>
  <c r="M511" i="61" l="1"/>
  <c r="R511" i="61"/>
  <c r="U511" i="61"/>
  <c r="X511" i="61"/>
  <c r="M512" i="61" l="1"/>
  <c r="R512" i="61"/>
  <c r="X512" i="61"/>
  <c r="U512" i="61"/>
  <c r="M513" i="61" l="1"/>
  <c r="U513" i="61"/>
  <c r="R513" i="61"/>
  <c r="X513" i="61"/>
  <c r="M514" i="61" l="1"/>
  <c r="U514" i="61"/>
  <c r="X514" i="61"/>
  <c r="R514" i="61"/>
  <c r="M515" i="61" l="1"/>
  <c r="X515" i="61"/>
  <c r="U515" i="61"/>
  <c r="R515" i="61"/>
  <c r="M516" i="61" l="1"/>
  <c r="X516" i="61"/>
  <c r="R516" i="61"/>
  <c r="U516" i="61"/>
  <c r="M517" i="61" l="1"/>
  <c r="X517" i="61"/>
  <c r="U517" i="61"/>
  <c r="R517" i="61"/>
  <c r="M518" i="61" l="1"/>
  <c r="X518" i="61"/>
  <c r="U518" i="61"/>
  <c r="R518" i="61"/>
  <c r="M519" i="61" l="1"/>
  <c r="R519" i="61"/>
  <c r="U519" i="61"/>
  <c r="X519" i="61"/>
  <c r="M520" i="61" l="1"/>
  <c r="R520" i="61"/>
  <c r="U520" i="61"/>
  <c r="X520" i="61"/>
  <c r="M521" i="61" l="1"/>
  <c r="X521" i="61"/>
  <c r="R521" i="61"/>
  <c r="U521" i="61"/>
  <c r="M522" i="61" l="1"/>
  <c r="R522" i="61"/>
  <c r="U522" i="61"/>
  <c r="X522" i="61"/>
  <c r="M523" i="61" l="1"/>
  <c r="R523" i="61"/>
  <c r="U523" i="61"/>
  <c r="X523" i="61"/>
  <c r="M524" i="61" l="1"/>
  <c r="R524" i="61"/>
  <c r="X524" i="61"/>
  <c r="U524" i="61"/>
  <c r="M525" i="61" l="1"/>
  <c r="R525" i="61"/>
  <c r="U525" i="61"/>
  <c r="X525" i="61"/>
  <c r="M526" i="61" l="1"/>
  <c r="R526" i="61"/>
  <c r="U526" i="61"/>
  <c r="X526" i="61"/>
  <c r="M527" i="61" l="1"/>
  <c r="X527" i="61"/>
  <c r="R527" i="61"/>
  <c r="U527" i="61"/>
  <c r="M528" i="61" l="1"/>
  <c r="R528" i="61"/>
  <c r="X528" i="61"/>
  <c r="U528" i="61"/>
  <c r="M529" i="61" l="1"/>
  <c r="X529" i="61"/>
  <c r="R529" i="61"/>
  <c r="U529" i="61"/>
  <c r="M530" i="61" l="1"/>
  <c r="R530" i="61"/>
  <c r="U530" i="61"/>
  <c r="X530" i="61"/>
  <c r="M531" i="61" l="1"/>
  <c r="X531" i="61"/>
  <c r="R531" i="61"/>
  <c r="U531" i="61"/>
  <c r="M532" i="61" l="1"/>
  <c r="X532" i="61"/>
  <c r="U532" i="61"/>
  <c r="R532" i="61"/>
  <c r="M533" i="61" l="1"/>
  <c r="U533" i="61"/>
  <c r="R533" i="61"/>
  <c r="X533" i="61"/>
  <c r="M534" i="61" l="1"/>
  <c r="R534" i="61"/>
  <c r="U534" i="61"/>
  <c r="X534" i="61"/>
  <c r="M535" i="61" l="1"/>
  <c r="X535" i="61"/>
  <c r="R535" i="61"/>
  <c r="U535" i="61"/>
  <c r="M536" i="61" l="1"/>
  <c r="R536" i="61"/>
  <c r="X536" i="61"/>
  <c r="U536" i="61"/>
  <c r="M537" i="61" l="1"/>
  <c r="R537" i="61"/>
  <c r="U537" i="61"/>
  <c r="X537" i="61"/>
  <c r="M538" i="61" l="1"/>
  <c r="U538" i="61"/>
  <c r="R538" i="61"/>
  <c r="X538" i="61"/>
  <c r="M539" i="61" l="1"/>
  <c r="R539" i="61"/>
  <c r="X539" i="61"/>
  <c r="U539" i="61"/>
  <c r="M540" i="61" l="1"/>
  <c r="U540" i="61"/>
  <c r="X540" i="61"/>
  <c r="R540" i="61"/>
  <c r="M541" i="61" l="1"/>
  <c r="X541" i="61"/>
  <c r="R541" i="61"/>
  <c r="U541" i="61"/>
  <c r="M542" i="61" l="1"/>
  <c r="U542" i="61"/>
  <c r="X542" i="61"/>
  <c r="R542" i="61"/>
  <c r="M543" i="61" l="1"/>
  <c r="U543" i="61"/>
  <c r="R543" i="61"/>
  <c r="X543" i="61"/>
  <c r="M544" i="61" l="1"/>
  <c r="U544" i="61"/>
  <c r="R544" i="61"/>
  <c r="X544" i="61"/>
  <c r="M545" i="61" l="1"/>
  <c r="R545" i="61"/>
  <c r="X545" i="61"/>
  <c r="U545" i="61"/>
  <c r="M546" i="61" l="1"/>
  <c r="R546" i="61"/>
  <c r="U546" i="61"/>
  <c r="X546" i="61"/>
  <c r="M547" i="61" l="1"/>
  <c r="U547" i="61"/>
  <c r="R547" i="61"/>
  <c r="X547" i="61"/>
  <c r="M548" i="61" l="1"/>
  <c r="R548" i="61"/>
  <c r="X548" i="61"/>
  <c r="U548" i="61"/>
  <c r="M549" i="61" l="1"/>
  <c r="U549" i="61"/>
  <c r="R549" i="61"/>
  <c r="X549" i="61"/>
  <c r="M550" i="61" l="1"/>
  <c r="U550" i="61"/>
  <c r="R550" i="61"/>
  <c r="X550" i="61"/>
  <c r="M551" i="61" l="1"/>
  <c r="U551" i="61"/>
  <c r="X551" i="61"/>
  <c r="R551" i="61"/>
  <c r="M552" i="61" l="1"/>
  <c r="U552" i="61"/>
  <c r="X552" i="61"/>
  <c r="R552" i="61"/>
  <c r="M553" i="61" l="1"/>
  <c r="R553" i="61"/>
  <c r="U553" i="61"/>
  <c r="X553" i="61"/>
  <c r="M554" i="61" l="1"/>
  <c r="R554" i="61"/>
  <c r="X554" i="61"/>
  <c r="U554" i="61"/>
  <c r="M555" i="61" l="1"/>
  <c r="U555" i="61"/>
  <c r="X555" i="61"/>
  <c r="R555" i="61"/>
  <c r="M556" i="61" l="1"/>
  <c r="X556" i="61"/>
  <c r="U556" i="61"/>
  <c r="R556" i="61"/>
  <c r="M557" i="61" l="1"/>
  <c r="X557" i="61"/>
  <c r="R557" i="61"/>
  <c r="U557" i="61"/>
  <c r="M558" i="61" l="1"/>
  <c r="R558" i="61"/>
  <c r="X558" i="61"/>
  <c r="U558" i="61"/>
  <c r="M559" i="61" l="1"/>
  <c r="R559" i="61"/>
  <c r="U559" i="61"/>
  <c r="X559" i="61"/>
  <c r="M560" i="61" l="1"/>
  <c r="X560" i="61"/>
  <c r="U560" i="61"/>
  <c r="R560" i="61"/>
  <c r="M561" i="61" l="1"/>
  <c r="X561" i="61"/>
  <c r="U561" i="61"/>
  <c r="R561" i="61"/>
  <c r="M562" i="61" l="1"/>
  <c r="X562" i="61"/>
  <c r="R562" i="61"/>
  <c r="U562" i="61"/>
  <c r="M563" i="61" l="1"/>
  <c r="X563" i="61"/>
  <c r="R563" i="61"/>
  <c r="U563" i="61"/>
  <c r="M564" i="61" l="1"/>
  <c r="U564" i="61"/>
  <c r="X564" i="61"/>
  <c r="R564" i="61"/>
  <c r="M565" i="61" l="1"/>
  <c r="X565" i="61"/>
  <c r="R565" i="61"/>
  <c r="U565" i="61"/>
  <c r="M566" i="61" l="1"/>
  <c r="R566" i="61"/>
  <c r="X566" i="61"/>
  <c r="U566" i="61"/>
  <c r="M567" i="61" l="1"/>
  <c r="U567" i="61"/>
  <c r="X567" i="61"/>
  <c r="R567" i="61"/>
  <c r="M568" i="61" l="1"/>
  <c r="R568" i="61"/>
  <c r="X568" i="61"/>
  <c r="U568" i="61"/>
  <c r="M569" i="61" l="1"/>
  <c r="U569" i="61"/>
  <c r="X569" i="61"/>
  <c r="R569" i="61"/>
  <c r="M570" i="61" l="1"/>
  <c r="R570" i="61"/>
  <c r="U570" i="61"/>
  <c r="X570" i="61"/>
  <c r="M571" i="61" l="1"/>
  <c r="X571" i="61"/>
  <c r="U571" i="61"/>
  <c r="R571" i="61"/>
  <c r="M572" i="61" l="1"/>
  <c r="U572" i="61"/>
  <c r="X572" i="61"/>
  <c r="R572" i="61"/>
  <c r="M573" i="61" l="1"/>
  <c r="X573" i="61"/>
  <c r="U573" i="61"/>
  <c r="R573" i="61"/>
  <c r="M574" i="61" l="1"/>
  <c r="R574" i="61"/>
  <c r="U574" i="61"/>
  <c r="X574" i="61"/>
  <c r="M575" i="61" l="1"/>
  <c r="U575" i="61"/>
  <c r="X575" i="61"/>
  <c r="R575" i="61"/>
  <c r="M576" i="61" l="1"/>
  <c r="X576" i="61"/>
  <c r="U576" i="61"/>
  <c r="R576" i="61"/>
  <c r="M577" i="61" l="1"/>
  <c r="U577" i="61"/>
  <c r="X577" i="61"/>
  <c r="R577" i="61"/>
  <c r="M578" i="61" l="1"/>
  <c r="X578" i="61"/>
  <c r="U578" i="61"/>
  <c r="R578" i="61"/>
  <c r="M579" i="61" l="1"/>
  <c r="X579" i="61"/>
  <c r="U579" i="61"/>
  <c r="R579" i="61"/>
  <c r="M580" i="61" l="1"/>
  <c r="R580" i="61"/>
  <c r="U580" i="61"/>
  <c r="X580" i="61"/>
  <c r="M581" i="61" l="1"/>
  <c r="X581" i="61"/>
  <c r="R581" i="61"/>
  <c r="U581" i="61"/>
  <c r="M582" i="61" l="1"/>
  <c r="U582" i="61"/>
  <c r="R582" i="61"/>
  <c r="X582" i="61"/>
  <c r="M583" i="61" l="1"/>
  <c r="X583" i="61"/>
  <c r="R583" i="61"/>
  <c r="U583" i="61"/>
  <c r="M584" i="61" l="1"/>
  <c r="R584" i="61"/>
  <c r="X584" i="61"/>
  <c r="U584" i="61"/>
  <c r="M585" i="61" l="1"/>
  <c r="R585" i="61"/>
  <c r="U585" i="61"/>
  <c r="X585" i="61"/>
  <c r="M586" i="61" l="1"/>
  <c r="X586" i="61"/>
  <c r="R586" i="61"/>
  <c r="U586" i="61"/>
  <c r="M587" i="61" l="1"/>
  <c r="X587" i="61"/>
  <c r="R587" i="61"/>
  <c r="U587" i="61"/>
  <c r="M588" i="61" l="1"/>
  <c r="X588" i="61"/>
  <c r="R588" i="61"/>
  <c r="U588" i="61"/>
  <c r="M589" i="61" l="1"/>
  <c r="R589" i="61"/>
  <c r="X589" i="61"/>
  <c r="U589" i="61"/>
  <c r="M590" i="61" l="1"/>
  <c r="U590" i="61"/>
  <c r="R590" i="61"/>
  <c r="X590" i="61"/>
  <c r="M591" i="61" l="1"/>
  <c r="X591" i="61"/>
  <c r="U591" i="61"/>
  <c r="R591" i="61"/>
  <c r="M592" i="61" l="1"/>
  <c r="U592" i="61"/>
  <c r="X592" i="61"/>
  <c r="R592" i="61"/>
  <c r="M593" i="61" l="1"/>
  <c r="X593" i="61"/>
  <c r="R593" i="61"/>
  <c r="U593" i="61"/>
  <c r="M594" i="61" l="1"/>
  <c r="R594" i="61"/>
  <c r="X594" i="61"/>
  <c r="U594" i="61"/>
  <c r="M595" i="61" l="1"/>
  <c r="X595" i="61"/>
  <c r="R595" i="61"/>
  <c r="U595" i="61"/>
  <c r="M596" i="61" l="1"/>
  <c r="R596" i="61"/>
  <c r="X596" i="61"/>
  <c r="U596" i="61"/>
  <c r="M597" i="61" l="1"/>
  <c r="X597" i="61"/>
  <c r="U597" i="61"/>
  <c r="R597" i="61"/>
  <c r="M598" i="61" l="1"/>
  <c r="U598" i="61"/>
  <c r="R598" i="61"/>
  <c r="X598" i="61"/>
  <c r="M599" i="61" l="1"/>
  <c r="U599" i="61"/>
  <c r="X599" i="61"/>
  <c r="R599" i="61"/>
  <c r="M600" i="61" l="1"/>
  <c r="R600" i="61"/>
  <c r="X600" i="61"/>
  <c r="U600" i="61"/>
  <c r="M601" i="61" l="1"/>
  <c r="U601" i="61"/>
  <c r="X601" i="61"/>
  <c r="R601" i="61"/>
  <c r="M602" i="61" l="1"/>
  <c r="R602" i="61"/>
  <c r="U602" i="61"/>
  <c r="X602" i="61"/>
  <c r="M603" i="61" l="1"/>
  <c r="U603" i="61"/>
  <c r="X603" i="61"/>
  <c r="R603" i="61"/>
  <c r="M604" i="61" l="1"/>
  <c r="U604" i="61"/>
  <c r="R604" i="61"/>
  <c r="X604" i="61"/>
  <c r="M605" i="61" l="1"/>
  <c r="U605" i="61"/>
  <c r="X605" i="61"/>
  <c r="R605" i="61"/>
  <c r="M606" i="61" l="1"/>
  <c r="X606" i="61"/>
  <c r="R606" i="61"/>
  <c r="U606" i="61"/>
  <c r="M607" i="61" l="1"/>
  <c r="X607" i="61"/>
  <c r="R607" i="61"/>
  <c r="U607" i="61"/>
  <c r="M608" i="61" l="1"/>
  <c r="U608" i="61"/>
  <c r="X608" i="61"/>
  <c r="R608" i="61"/>
  <c r="M609" i="61" l="1"/>
  <c r="R609" i="61"/>
  <c r="X609" i="61"/>
  <c r="U609" i="61"/>
  <c r="M610" i="61" l="1"/>
  <c r="R610" i="61"/>
  <c r="X610" i="61"/>
  <c r="U610" i="61"/>
  <c r="M611" i="61" l="1"/>
  <c r="U611" i="61"/>
  <c r="X611" i="61"/>
  <c r="R611" i="61"/>
  <c r="M612" i="61" l="1"/>
  <c r="X612" i="61"/>
  <c r="U612" i="61"/>
  <c r="R612" i="61"/>
  <c r="M613" i="61" l="1"/>
  <c r="R613" i="61"/>
  <c r="U613" i="61"/>
  <c r="X613" i="61"/>
  <c r="M614" i="61" l="1"/>
  <c r="X614" i="61"/>
  <c r="R614" i="61"/>
  <c r="U614" i="61"/>
  <c r="M615" i="61" l="1"/>
  <c r="X615" i="61"/>
  <c r="R615" i="61"/>
  <c r="U615" i="61"/>
  <c r="M616" i="61" l="1"/>
  <c r="U616" i="61"/>
  <c r="X616" i="61"/>
  <c r="R616" i="61"/>
  <c r="M617" i="61" l="1"/>
  <c r="X617" i="61"/>
  <c r="U617" i="61"/>
  <c r="R617" i="61"/>
  <c r="M618" i="61" l="1"/>
  <c r="R618" i="61"/>
  <c r="X618" i="61"/>
  <c r="U618" i="61"/>
  <c r="M619" i="61" l="1"/>
  <c r="X619" i="61"/>
  <c r="U619" i="61"/>
  <c r="R619" i="61"/>
  <c r="M620" i="61" l="1"/>
  <c r="R620" i="61"/>
  <c r="X620" i="61"/>
  <c r="U620" i="61"/>
  <c r="M621" i="61" l="1"/>
  <c r="R621" i="61"/>
  <c r="X621" i="61"/>
  <c r="U621" i="61"/>
  <c r="M622" i="61" l="1"/>
  <c r="U622" i="61"/>
  <c r="X622" i="61"/>
  <c r="R622" i="61"/>
  <c r="M623" i="61" l="1"/>
  <c r="X623" i="61"/>
  <c r="R623" i="61"/>
  <c r="U623" i="61"/>
  <c r="M624" i="61" l="1"/>
  <c r="X624" i="61"/>
  <c r="U624" i="61"/>
  <c r="R624" i="61"/>
  <c r="M625" i="61" l="1"/>
  <c r="R625" i="61"/>
  <c r="X625" i="61"/>
  <c r="U625" i="61"/>
  <c r="M626" i="61" l="1"/>
  <c r="X626" i="61"/>
  <c r="U626" i="61"/>
  <c r="R626" i="61"/>
  <c r="M627" i="61" l="1"/>
  <c r="X627" i="61"/>
  <c r="U627" i="61"/>
  <c r="R627" i="61"/>
  <c r="M628" i="61" l="1"/>
  <c r="R628" i="61"/>
  <c r="X628" i="61"/>
  <c r="U628" i="61"/>
  <c r="M629" i="61" l="1"/>
  <c r="U629" i="61"/>
  <c r="R629" i="61"/>
  <c r="X629" i="61"/>
  <c r="M630" i="61" l="1"/>
  <c r="U630" i="61"/>
  <c r="X630" i="61"/>
  <c r="R630" i="61"/>
  <c r="M631" i="61" l="1"/>
  <c r="R631" i="61"/>
  <c r="U631" i="61"/>
  <c r="X631" i="61"/>
  <c r="M632" i="61" l="1"/>
  <c r="R632" i="61"/>
  <c r="X632" i="61"/>
  <c r="U632" i="61"/>
  <c r="M633" i="61" l="1"/>
  <c r="X633" i="61"/>
  <c r="R633" i="61"/>
  <c r="U633" i="61"/>
  <c r="M634" i="61" l="1"/>
  <c r="U634" i="61"/>
  <c r="R634" i="61"/>
  <c r="X634" i="61"/>
  <c r="M635" i="61" l="1"/>
  <c r="X635" i="61"/>
  <c r="U635" i="61"/>
  <c r="R635" i="61"/>
  <c r="M636" i="61" l="1"/>
  <c r="R636" i="61"/>
  <c r="X636" i="61"/>
  <c r="U636" i="61"/>
  <c r="M637" i="61" l="1"/>
  <c r="U637" i="61"/>
  <c r="R637" i="61"/>
  <c r="X637" i="61"/>
  <c r="M638" i="61" l="1"/>
  <c r="X638" i="61"/>
  <c r="U638" i="61"/>
  <c r="R638" i="61"/>
  <c r="M639" i="61" l="1"/>
  <c r="R639" i="61"/>
  <c r="U639" i="61"/>
  <c r="X639" i="61"/>
  <c r="M640" i="61" l="1"/>
  <c r="R640" i="61"/>
  <c r="X640" i="61"/>
  <c r="U640" i="61"/>
  <c r="M641" i="61" l="1"/>
  <c r="U641" i="61"/>
  <c r="R641" i="61"/>
  <c r="X641" i="61"/>
  <c r="M642" i="61" l="1"/>
  <c r="X642" i="61"/>
  <c r="U642" i="61"/>
  <c r="R642" i="61"/>
  <c r="M643" i="61" l="1"/>
  <c r="U643" i="61"/>
  <c r="R643" i="61"/>
  <c r="X643" i="61"/>
  <c r="M644" i="61" l="1"/>
  <c r="R644" i="61"/>
  <c r="U644" i="61"/>
  <c r="X644" i="61"/>
  <c r="M645" i="61" l="1"/>
  <c r="U645" i="61"/>
  <c r="X645" i="61"/>
  <c r="R645" i="61"/>
  <c r="M646" i="61" l="1"/>
  <c r="R646" i="61"/>
  <c r="U646" i="61"/>
  <c r="X646" i="61"/>
  <c r="M647" i="61" l="1"/>
  <c r="X647" i="61"/>
  <c r="R647" i="61"/>
  <c r="U647" i="61"/>
  <c r="M648" i="61" l="1"/>
  <c r="U648" i="61"/>
  <c r="X648" i="61"/>
  <c r="R648" i="61"/>
  <c r="M649" i="61" l="1"/>
  <c r="R649" i="61"/>
  <c r="U649" i="61"/>
  <c r="X649" i="61"/>
  <c r="M650" i="61" l="1"/>
  <c r="X650" i="61"/>
  <c r="U650" i="61"/>
  <c r="R650" i="61"/>
  <c r="M651" i="61" l="1"/>
  <c r="X651" i="61"/>
  <c r="U651" i="61"/>
  <c r="R651" i="61"/>
  <c r="M652" i="61" l="1"/>
  <c r="R652" i="61"/>
  <c r="X652" i="61"/>
  <c r="U652" i="61"/>
  <c r="M653" i="61" l="1"/>
  <c r="U653" i="61"/>
  <c r="X653" i="61"/>
  <c r="R653" i="61"/>
  <c r="M654" i="61" l="1"/>
  <c r="R654" i="61"/>
  <c r="U654" i="61"/>
  <c r="X654" i="61"/>
  <c r="M655" i="61" l="1"/>
  <c r="X655" i="61"/>
  <c r="R655" i="61"/>
  <c r="U655" i="61"/>
  <c r="M656" i="61" l="1"/>
  <c r="U656" i="61"/>
  <c r="X656" i="61"/>
  <c r="R656" i="61"/>
  <c r="M657" i="61" l="1"/>
  <c r="X657" i="61"/>
  <c r="R657" i="61"/>
  <c r="U657" i="61"/>
  <c r="M658" i="61" l="1"/>
  <c r="R658" i="61"/>
  <c r="X658" i="61"/>
  <c r="U658" i="61"/>
  <c r="M659" i="61" l="1"/>
  <c r="U659" i="61"/>
  <c r="R659" i="61"/>
  <c r="X659" i="61"/>
  <c r="M660" i="61" l="1"/>
  <c r="X660" i="61"/>
  <c r="U660" i="61"/>
  <c r="R660" i="61"/>
  <c r="M661" i="61" l="1"/>
  <c r="X661" i="61"/>
  <c r="U661" i="61"/>
  <c r="R661" i="61"/>
  <c r="M662" i="61" l="1"/>
  <c r="X662" i="61"/>
  <c r="R662" i="61"/>
  <c r="U662" i="61"/>
  <c r="M663" i="61" l="1"/>
  <c r="U663" i="61"/>
  <c r="X663" i="61"/>
  <c r="R663" i="61"/>
  <c r="M664" i="61" l="1"/>
  <c r="U664" i="61"/>
  <c r="R664" i="61"/>
  <c r="X664" i="61"/>
  <c r="M665" i="61" l="1"/>
  <c r="X665" i="61"/>
  <c r="R665" i="61"/>
  <c r="U665" i="61"/>
  <c r="M666" i="61" l="1"/>
  <c r="U666" i="61"/>
  <c r="X666" i="61"/>
  <c r="R666" i="61"/>
  <c r="M667" i="61" l="1"/>
  <c r="U667" i="61"/>
  <c r="X667" i="61"/>
  <c r="R667" i="61"/>
  <c r="M668" i="61" l="1"/>
  <c r="U668" i="61"/>
  <c r="R668" i="61"/>
  <c r="X668" i="61"/>
  <c r="M669" i="61" l="1"/>
  <c r="U669" i="61"/>
  <c r="R669" i="61"/>
  <c r="X669" i="61"/>
  <c r="M670" i="61" l="1"/>
  <c r="U670" i="61"/>
  <c r="X670" i="61"/>
  <c r="R670" i="61"/>
  <c r="M671" i="61" l="1"/>
  <c r="R671" i="61"/>
  <c r="U671" i="61"/>
  <c r="X671" i="61"/>
  <c r="M672" i="61" l="1"/>
  <c r="R672" i="61"/>
  <c r="U672" i="61"/>
  <c r="X672" i="61"/>
  <c r="M673" i="61" l="1"/>
  <c r="R673" i="61"/>
  <c r="X673" i="61"/>
  <c r="U673" i="61"/>
  <c r="M674" i="61" l="1"/>
  <c r="X674" i="61"/>
  <c r="R674" i="61"/>
  <c r="U674" i="61"/>
  <c r="M675" i="61" l="1"/>
  <c r="X675" i="61"/>
  <c r="U675" i="61"/>
  <c r="R675" i="61"/>
  <c r="M676" i="61" l="1"/>
  <c r="U676" i="61"/>
  <c r="X676" i="61"/>
  <c r="R676" i="61"/>
  <c r="M677" i="61" l="1"/>
  <c r="X677" i="61"/>
  <c r="U677" i="61"/>
  <c r="R677" i="61"/>
  <c r="M678" i="61" l="1"/>
  <c r="X678" i="61"/>
  <c r="U678" i="61"/>
  <c r="R678" i="61"/>
  <c r="M679" i="61" l="1"/>
  <c r="U679" i="61"/>
  <c r="X679" i="61"/>
  <c r="R679" i="61"/>
  <c r="M680" i="61" l="1"/>
  <c r="U680" i="61"/>
  <c r="X680" i="61"/>
  <c r="R680" i="61"/>
  <c r="M681" i="61" l="1"/>
  <c r="U681" i="61"/>
  <c r="X681" i="61"/>
  <c r="R681" i="61"/>
  <c r="M682" i="61" l="1"/>
  <c r="R682" i="61"/>
  <c r="X682" i="61"/>
  <c r="U682" i="61"/>
  <c r="M683" i="61" l="1"/>
  <c r="U683" i="61"/>
  <c r="R683" i="61"/>
  <c r="X683" i="61"/>
  <c r="M684" i="61" l="1"/>
  <c r="U684" i="61"/>
  <c r="X684" i="61"/>
  <c r="R684" i="61"/>
  <c r="M685" i="61" l="1"/>
  <c r="X685" i="61"/>
  <c r="U685" i="61"/>
  <c r="R685" i="61"/>
  <c r="M686" i="61" l="1"/>
  <c r="X686" i="61"/>
  <c r="U686" i="61"/>
  <c r="R686" i="61"/>
  <c r="M687" i="61" l="1"/>
  <c r="X687" i="61"/>
  <c r="R687" i="61"/>
  <c r="U687" i="61"/>
  <c r="M688" i="61" l="1"/>
  <c r="R688" i="61"/>
  <c r="X688" i="61"/>
  <c r="U688" i="61"/>
  <c r="M689" i="61" l="1"/>
  <c r="X689" i="61"/>
  <c r="U689" i="61"/>
  <c r="R689" i="61"/>
  <c r="M690" i="61" l="1"/>
  <c r="X690" i="61"/>
  <c r="R690" i="61"/>
  <c r="U690" i="61"/>
  <c r="M691" i="61" l="1"/>
  <c r="X691" i="61"/>
  <c r="U691" i="61"/>
  <c r="R691" i="61"/>
  <c r="M692" i="61" l="1"/>
  <c r="X692" i="61"/>
  <c r="U692" i="61"/>
  <c r="R692" i="61"/>
  <c r="M693" i="61" l="1"/>
  <c r="R693" i="61"/>
  <c r="X693" i="61"/>
  <c r="U693" i="61"/>
  <c r="M694" i="61" l="1"/>
  <c r="X694" i="61"/>
  <c r="U694" i="61"/>
  <c r="R694" i="61"/>
  <c r="M695" i="61" l="1"/>
  <c r="X695" i="61"/>
  <c r="R695" i="61"/>
  <c r="U695" i="61"/>
  <c r="M696" i="61" l="1"/>
  <c r="X696" i="61"/>
  <c r="R696" i="61"/>
  <c r="U696" i="61"/>
  <c r="M697" i="61" l="1"/>
  <c r="X697" i="61"/>
  <c r="U697" i="61"/>
  <c r="R697" i="61"/>
  <c r="M698" i="61" l="1"/>
  <c r="U698" i="61"/>
  <c r="R698" i="61"/>
  <c r="X698" i="61"/>
  <c r="M699" i="61" l="1"/>
  <c r="U699" i="61"/>
  <c r="R699" i="61"/>
  <c r="X699" i="61"/>
  <c r="M700" i="61" l="1"/>
  <c r="R700" i="61"/>
  <c r="U700" i="61"/>
  <c r="X700" i="61"/>
  <c r="M701" i="61" l="1"/>
  <c r="R701" i="61"/>
  <c r="U701" i="61"/>
  <c r="X701" i="61"/>
  <c r="M702" i="61" l="1"/>
  <c r="X702" i="61"/>
  <c r="U702" i="61"/>
  <c r="R702" i="61"/>
  <c r="M703" i="61" l="1"/>
  <c r="U703" i="61"/>
  <c r="X703" i="61"/>
  <c r="R703" i="61"/>
  <c r="M704" i="61" l="1"/>
  <c r="X704" i="61"/>
  <c r="R704" i="61"/>
  <c r="U704" i="61"/>
  <c r="M705" i="61" l="1"/>
  <c r="X705" i="61"/>
  <c r="R705" i="61"/>
  <c r="U705" i="61"/>
  <c r="M706" i="61" l="1"/>
  <c r="R706" i="61"/>
  <c r="X706" i="61"/>
  <c r="U706" i="61"/>
  <c r="M707" i="61" l="1"/>
  <c r="X707" i="61"/>
  <c r="U707" i="61"/>
  <c r="R707" i="61"/>
  <c r="M708" i="61" l="1"/>
  <c r="X708" i="61"/>
  <c r="R708" i="61"/>
  <c r="U708" i="61"/>
  <c r="M709" i="61" l="1"/>
  <c r="X709" i="61"/>
  <c r="R709" i="61"/>
  <c r="U709" i="61"/>
  <c r="M710" i="61" l="1"/>
  <c r="R710" i="61"/>
  <c r="X710" i="61"/>
  <c r="U710" i="61"/>
  <c r="M711" i="61" l="1"/>
  <c r="R711" i="61"/>
  <c r="U711" i="61"/>
  <c r="X711" i="61"/>
  <c r="M712" i="61" l="1"/>
  <c r="R712" i="61"/>
  <c r="X712" i="61"/>
  <c r="U712" i="61"/>
  <c r="M713" i="61" l="1"/>
  <c r="X713" i="61"/>
  <c r="U713" i="61"/>
  <c r="R713" i="61"/>
  <c r="M714" i="61" l="1"/>
  <c r="U714" i="61"/>
  <c r="X714" i="61"/>
  <c r="R714" i="61"/>
  <c r="M715" i="61" l="1"/>
  <c r="R715" i="61"/>
  <c r="X715" i="61"/>
  <c r="U715" i="61"/>
  <c r="M716" i="61" l="1"/>
  <c r="R716" i="61"/>
  <c r="X716" i="61"/>
  <c r="U716" i="61"/>
  <c r="M717" i="61" l="1"/>
  <c r="X717" i="61"/>
  <c r="U717" i="61"/>
  <c r="R717" i="61"/>
  <c r="M718" i="61" l="1"/>
  <c r="R718" i="61"/>
  <c r="U718" i="61"/>
  <c r="X718" i="61"/>
  <c r="M719" i="61" l="1"/>
  <c r="X719" i="61"/>
  <c r="R719" i="61"/>
  <c r="U719" i="61"/>
  <c r="M720" i="61" l="1"/>
  <c r="R720" i="61"/>
  <c r="U720" i="61"/>
  <c r="X720" i="61"/>
  <c r="M721" i="61" l="1"/>
  <c r="R721" i="61"/>
  <c r="X721" i="61"/>
  <c r="U721" i="61"/>
  <c r="M722" i="61" l="1"/>
  <c r="X722" i="61"/>
  <c r="U722" i="61"/>
  <c r="R722" i="61"/>
  <c r="M723" i="61" l="1"/>
  <c r="X723" i="61"/>
  <c r="R723" i="61"/>
  <c r="U723" i="61"/>
  <c r="M724" i="61" l="1"/>
  <c r="U724" i="61"/>
  <c r="R724" i="61"/>
  <c r="X724" i="61"/>
  <c r="M725" i="61" l="1"/>
  <c r="R725" i="61"/>
  <c r="U725" i="61"/>
  <c r="X725" i="61"/>
  <c r="M726" i="61" l="1"/>
  <c r="X726" i="61"/>
  <c r="U726" i="61"/>
  <c r="R726" i="61"/>
  <c r="M727" i="61" l="1"/>
  <c r="U727" i="61"/>
  <c r="X727" i="61"/>
  <c r="R727" i="61"/>
  <c r="M728" i="61" l="1"/>
  <c r="U728" i="61"/>
  <c r="X728" i="61"/>
  <c r="R728" i="61"/>
  <c r="M729" i="61" l="1"/>
  <c r="X729" i="61"/>
  <c r="R729" i="61"/>
  <c r="U729" i="61"/>
  <c r="M730" i="61" l="1"/>
  <c r="X730" i="61"/>
  <c r="U730" i="61"/>
  <c r="R730" i="61"/>
  <c r="M731" i="61" l="1"/>
  <c r="X731" i="61"/>
  <c r="R731" i="61"/>
  <c r="U731" i="61"/>
  <c r="M732" i="61" l="1"/>
  <c r="X732" i="61"/>
  <c r="R732" i="61"/>
  <c r="U732" i="61"/>
  <c r="M733" i="61" l="1"/>
  <c r="X733" i="61"/>
  <c r="U733" i="61"/>
  <c r="R733" i="61"/>
  <c r="M734" i="61" l="1"/>
  <c r="X734" i="61"/>
  <c r="R734" i="61"/>
  <c r="U734" i="61"/>
  <c r="M735" i="61" l="1"/>
  <c r="X735" i="61"/>
  <c r="U735" i="61"/>
  <c r="R735" i="61"/>
  <c r="M736" i="61" l="1"/>
  <c r="R736" i="61"/>
  <c r="U736" i="61"/>
  <c r="X736" i="61"/>
  <c r="M737" i="61" l="1"/>
  <c r="U737" i="61"/>
  <c r="R737" i="61"/>
  <c r="X737" i="61"/>
  <c r="M738" i="61" l="1"/>
  <c r="R738" i="61"/>
  <c r="X738" i="61"/>
  <c r="U738" i="61"/>
  <c r="M739" i="61" l="1"/>
  <c r="U739" i="61"/>
  <c r="R739" i="61"/>
  <c r="X739" i="61"/>
  <c r="M740" i="61" l="1"/>
  <c r="U740" i="61"/>
  <c r="X740" i="61"/>
  <c r="R740" i="61"/>
  <c r="M741" i="61" l="1"/>
  <c r="X741" i="61"/>
  <c r="U741" i="61"/>
  <c r="R741" i="61"/>
  <c r="M742" i="61" l="1"/>
  <c r="X742" i="61"/>
  <c r="R742" i="61"/>
  <c r="U742" i="61"/>
  <c r="M743" i="61" l="1"/>
  <c r="R743" i="61"/>
  <c r="U743" i="61"/>
  <c r="X743" i="61"/>
  <c r="M744" i="61" l="1"/>
  <c r="X744" i="61"/>
  <c r="R744" i="61"/>
  <c r="U744" i="61"/>
  <c r="M745" i="61" l="1"/>
  <c r="U745" i="61"/>
  <c r="R745" i="61"/>
  <c r="X745" i="61"/>
  <c r="M746" i="61" l="1"/>
  <c r="X746" i="61"/>
  <c r="U746" i="61"/>
  <c r="R746" i="61"/>
  <c r="M747" i="61" l="1"/>
  <c r="U747" i="61"/>
  <c r="R747" i="61"/>
  <c r="X747" i="61"/>
  <c r="M748" i="61" l="1"/>
  <c r="X748" i="61"/>
  <c r="R748" i="61"/>
  <c r="U748" i="61"/>
  <c r="M749" i="61" l="1"/>
  <c r="U749" i="61"/>
  <c r="X749" i="61"/>
  <c r="R749" i="61"/>
  <c r="M750" i="61" l="1"/>
  <c r="X750" i="61"/>
  <c r="U750" i="61"/>
  <c r="R750" i="61"/>
  <c r="M751" i="61" l="1"/>
  <c r="X751" i="61"/>
  <c r="R751" i="61"/>
  <c r="U751" i="61"/>
  <c r="M752" i="61" l="1"/>
  <c r="X752" i="61"/>
  <c r="U752" i="61"/>
  <c r="R752" i="61"/>
  <c r="M753" i="61" l="1"/>
  <c r="R753" i="61"/>
  <c r="X753" i="61"/>
  <c r="U753" i="61"/>
  <c r="M754" i="61" l="1"/>
  <c r="U754" i="61"/>
  <c r="X754" i="61"/>
  <c r="R754" i="61"/>
  <c r="M755" i="61" l="1"/>
  <c r="R755" i="61"/>
  <c r="X755" i="61"/>
  <c r="U755" i="61"/>
  <c r="M756" i="61" l="1"/>
  <c r="U756" i="61"/>
  <c r="X756" i="61"/>
  <c r="R756" i="61"/>
  <c r="M757" i="61" l="1"/>
  <c r="R757" i="61"/>
  <c r="X757" i="61"/>
  <c r="U757" i="61"/>
  <c r="M758" i="61" l="1"/>
  <c r="X758" i="61"/>
  <c r="R758" i="61"/>
  <c r="U758" i="61"/>
  <c r="M759" i="61" l="1"/>
  <c r="R759" i="61"/>
  <c r="X759" i="61"/>
  <c r="U759" i="61"/>
  <c r="M760" i="61" l="1"/>
  <c r="X760" i="61"/>
  <c r="U760" i="61"/>
  <c r="R760" i="61"/>
  <c r="M761" i="61" l="1"/>
  <c r="U761" i="61"/>
  <c r="R761" i="61"/>
  <c r="X761" i="61"/>
  <c r="M762" i="61" l="1"/>
  <c r="R762" i="61"/>
  <c r="X762" i="61"/>
  <c r="U762" i="61"/>
  <c r="M763" i="61" l="1"/>
  <c r="X763" i="61"/>
  <c r="R763" i="61"/>
  <c r="U763" i="61"/>
  <c r="M764" i="61" l="1"/>
  <c r="X764" i="61"/>
  <c r="R764" i="61"/>
  <c r="U764" i="61"/>
  <c r="M765" i="61" l="1"/>
  <c r="X765" i="61"/>
  <c r="U765" i="61"/>
  <c r="R765" i="61"/>
  <c r="M766" i="61" l="1"/>
  <c r="U766" i="61"/>
  <c r="X766" i="61"/>
  <c r="R766" i="61"/>
  <c r="M767" i="61" l="1"/>
  <c r="R767" i="61"/>
  <c r="X767" i="61"/>
  <c r="U767" i="61"/>
  <c r="M768" i="61" l="1"/>
  <c r="X768" i="61"/>
  <c r="U768" i="61"/>
  <c r="R768" i="61"/>
  <c r="M769" i="61" l="1"/>
  <c r="R769" i="61"/>
  <c r="X769" i="61"/>
  <c r="U769" i="61"/>
  <c r="M770" i="61" l="1"/>
  <c r="U770" i="61"/>
  <c r="R770" i="61"/>
  <c r="X770" i="61"/>
  <c r="M771" i="61" l="1"/>
  <c r="U771" i="61"/>
  <c r="X771" i="61"/>
  <c r="R771" i="61"/>
  <c r="M772" i="61" l="1"/>
  <c r="X772" i="61"/>
  <c r="R772" i="61"/>
  <c r="U772" i="61"/>
  <c r="M773" i="61" l="1"/>
  <c r="R773" i="61"/>
  <c r="X773" i="61"/>
  <c r="U773" i="61"/>
  <c r="M774" i="61" l="1"/>
  <c r="X774" i="61"/>
  <c r="U774" i="61"/>
  <c r="R774" i="61"/>
  <c r="M775" i="61" l="1"/>
  <c r="U775" i="61"/>
  <c r="R775" i="61"/>
  <c r="X775" i="61"/>
  <c r="M776" i="61" l="1"/>
  <c r="U776" i="61"/>
  <c r="X776" i="61"/>
  <c r="R776" i="61"/>
  <c r="M777" i="61" l="1"/>
  <c r="X777" i="61"/>
  <c r="R777" i="61"/>
  <c r="U777" i="61"/>
  <c r="M778" i="61" l="1"/>
  <c r="U778" i="61"/>
  <c r="X778" i="61"/>
  <c r="R778" i="61"/>
  <c r="M779" i="61" l="1"/>
  <c r="X779" i="61"/>
  <c r="R779" i="61"/>
  <c r="U779" i="61"/>
  <c r="M780" i="61" l="1"/>
  <c r="R780" i="61"/>
  <c r="U780" i="61"/>
  <c r="X780" i="61"/>
  <c r="M781" i="61" l="1"/>
  <c r="X781" i="61"/>
  <c r="U781" i="61"/>
  <c r="R781" i="61"/>
  <c r="M782" i="61" l="1"/>
  <c r="R782" i="61"/>
  <c r="U782" i="61"/>
  <c r="X782" i="61"/>
  <c r="M783" i="61" l="1"/>
  <c r="R783" i="61"/>
  <c r="U783" i="61"/>
  <c r="X783" i="61"/>
  <c r="M784" i="61" l="1"/>
  <c r="X784" i="61"/>
  <c r="R784" i="61"/>
  <c r="U784" i="61"/>
  <c r="M785" i="61" l="1"/>
  <c r="U785" i="61"/>
  <c r="X785" i="61"/>
  <c r="R785" i="61"/>
  <c r="M786" i="61" l="1"/>
  <c r="X786" i="61"/>
  <c r="R786" i="61"/>
  <c r="U786" i="61"/>
  <c r="M787" i="61" l="1"/>
  <c r="U787" i="61"/>
  <c r="R787" i="61"/>
  <c r="X787" i="61"/>
  <c r="M788" i="61" l="1"/>
  <c r="X788" i="61"/>
  <c r="U788" i="61"/>
  <c r="R788" i="61"/>
  <c r="M789" i="61" l="1"/>
  <c r="U789" i="61"/>
  <c r="X789" i="61"/>
  <c r="R789" i="61"/>
  <c r="M790" i="61" l="1"/>
  <c r="X790" i="61"/>
  <c r="U790" i="61"/>
  <c r="R790" i="61"/>
  <c r="M791" i="61" l="1"/>
  <c r="R791" i="61"/>
  <c r="U791" i="61"/>
  <c r="X791" i="61"/>
  <c r="M792" i="61" l="1"/>
  <c r="R792" i="61"/>
  <c r="U792" i="61"/>
  <c r="X792" i="61"/>
  <c r="M793" i="61" l="1"/>
  <c r="X793" i="61"/>
  <c r="R793" i="61"/>
  <c r="U793" i="61"/>
  <c r="M794" i="61" l="1"/>
  <c r="R794" i="61"/>
  <c r="X794" i="61"/>
  <c r="U794" i="61"/>
  <c r="M795" i="61" l="1"/>
  <c r="R795" i="61"/>
  <c r="U795" i="61"/>
  <c r="X795" i="61"/>
  <c r="M796" i="61" l="1"/>
  <c r="R796" i="61"/>
  <c r="U796" i="61"/>
  <c r="X796" i="61"/>
  <c r="M797" i="61" l="1"/>
  <c r="R797" i="61"/>
  <c r="X797" i="61"/>
  <c r="U797" i="61"/>
  <c r="M798" i="61" l="1"/>
  <c r="U798" i="61"/>
  <c r="X798" i="61"/>
  <c r="R798" i="61"/>
  <c r="M799" i="61" l="1"/>
  <c r="R799" i="61"/>
  <c r="U799" i="61"/>
  <c r="X799" i="61"/>
  <c r="M800" i="61" l="1"/>
  <c r="X800" i="61"/>
  <c r="R800" i="61"/>
  <c r="U800" i="61"/>
  <c r="M801" i="61" l="1"/>
  <c r="R801" i="61"/>
  <c r="X801" i="61"/>
  <c r="U801" i="61"/>
  <c r="M802" i="61" l="1"/>
  <c r="X802" i="61"/>
  <c r="R802" i="61"/>
  <c r="U802" i="61"/>
  <c r="M803" i="61" l="1"/>
  <c r="R803" i="61"/>
  <c r="X803" i="61"/>
  <c r="U803" i="61"/>
  <c r="M804" i="61" l="1"/>
  <c r="R804" i="61"/>
  <c r="U804" i="61"/>
  <c r="X804" i="61"/>
  <c r="M805" i="61" l="1"/>
  <c r="X805" i="61"/>
  <c r="U805" i="61"/>
  <c r="R805" i="61"/>
  <c r="M806" i="61" l="1"/>
  <c r="X806" i="61"/>
  <c r="R806" i="61"/>
  <c r="U806" i="61"/>
  <c r="M807" i="61" l="1"/>
  <c r="X807" i="61"/>
  <c r="U807" i="61"/>
  <c r="R807" i="61"/>
  <c r="M808" i="61" l="1"/>
  <c r="U808" i="61"/>
  <c r="X808" i="61"/>
  <c r="R808" i="61"/>
  <c r="M809" i="61" l="1"/>
  <c r="R809" i="61"/>
  <c r="X809" i="61"/>
  <c r="U809" i="61"/>
  <c r="M810" i="61" l="1"/>
  <c r="X810" i="61"/>
  <c r="R810" i="61"/>
  <c r="U810" i="61"/>
  <c r="M811" i="61" l="1"/>
  <c r="U811" i="61"/>
  <c r="R811" i="61"/>
  <c r="X811" i="61"/>
  <c r="M812" i="61" l="1"/>
  <c r="X812" i="61"/>
  <c r="R812" i="61"/>
  <c r="U812" i="61"/>
  <c r="M813" i="61" l="1"/>
  <c r="X813" i="61"/>
  <c r="R813" i="61"/>
  <c r="U813" i="61"/>
  <c r="M814" i="61" l="1"/>
  <c r="X814" i="61"/>
  <c r="U814" i="61"/>
  <c r="R814" i="61"/>
  <c r="M815" i="61" l="1"/>
  <c r="X815" i="61"/>
  <c r="U815" i="61"/>
  <c r="R815" i="61"/>
  <c r="M816" i="61" l="1"/>
  <c r="U816" i="61"/>
  <c r="X816" i="61"/>
  <c r="R816" i="61"/>
  <c r="M817" i="61" l="1"/>
  <c r="X817" i="61"/>
  <c r="R817" i="61"/>
  <c r="U817" i="61"/>
  <c r="M818" i="61" l="1"/>
  <c r="X818" i="61"/>
  <c r="R818" i="61"/>
  <c r="U818" i="61"/>
  <c r="M819" i="61" l="1"/>
  <c r="U819" i="61"/>
  <c r="X819" i="61"/>
  <c r="R819" i="61"/>
  <c r="M820" i="61" l="1"/>
  <c r="R820" i="61"/>
  <c r="X820" i="61"/>
  <c r="U820" i="61"/>
  <c r="M821" i="61" l="1"/>
  <c r="R821" i="61"/>
  <c r="U821" i="61"/>
  <c r="X821" i="61"/>
  <c r="M822" i="61" l="1"/>
  <c r="X822" i="61"/>
  <c r="U822" i="61"/>
  <c r="R822" i="61"/>
  <c r="M823" i="61" l="1"/>
  <c r="X823" i="61"/>
  <c r="U823" i="61"/>
  <c r="R823" i="61"/>
  <c r="M824" i="61" l="1"/>
  <c r="U824" i="61"/>
  <c r="X824" i="61"/>
  <c r="R824" i="61"/>
  <c r="M825" i="61" l="1"/>
  <c r="R825" i="61"/>
  <c r="X825" i="61"/>
  <c r="U825" i="61"/>
  <c r="M826" i="61" l="1"/>
  <c r="R826" i="61"/>
  <c r="X826" i="61"/>
  <c r="U826" i="61"/>
  <c r="M827" i="61" l="1"/>
  <c r="X827" i="61"/>
  <c r="U827" i="61"/>
  <c r="R827" i="61"/>
  <c r="M828" i="61" l="1"/>
  <c r="U828" i="61"/>
  <c r="X828" i="61"/>
  <c r="R828" i="61"/>
  <c r="M829" i="61" l="1"/>
  <c r="X829" i="61"/>
  <c r="U829" i="61"/>
  <c r="R829" i="61"/>
  <c r="M830" i="61" l="1"/>
  <c r="R830" i="61"/>
  <c r="U830" i="61"/>
  <c r="X830" i="61"/>
  <c r="M831" i="61" l="1"/>
  <c r="X831" i="61"/>
  <c r="U831" i="61"/>
  <c r="R831" i="61"/>
  <c r="M832" i="61" l="1"/>
  <c r="U832" i="61"/>
  <c r="R832" i="61"/>
  <c r="X832" i="61"/>
  <c r="M833" i="61" l="1"/>
  <c r="R833" i="61"/>
  <c r="U833" i="61"/>
  <c r="X833" i="61"/>
  <c r="M834" i="61" l="1"/>
  <c r="U834" i="61"/>
  <c r="R834" i="61"/>
  <c r="X834" i="61"/>
  <c r="M835" i="61" l="1"/>
  <c r="U835" i="61"/>
  <c r="R835" i="61"/>
  <c r="X835" i="61"/>
  <c r="M836" i="61" l="1"/>
  <c r="R836" i="61"/>
  <c r="X836" i="61"/>
  <c r="U836" i="61"/>
  <c r="M837" i="61" l="1"/>
  <c r="X837" i="61"/>
  <c r="R837" i="61"/>
  <c r="U837" i="61"/>
  <c r="M838" i="61" l="1"/>
  <c r="U838" i="61"/>
  <c r="X838" i="61"/>
  <c r="R838" i="61"/>
  <c r="M839" i="61" l="1"/>
  <c r="X839" i="61"/>
  <c r="R839" i="61"/>
  <c r="U839" i="61"/>
  <c r="M840" i="61" l="1"/>
  <c r="R840" i="61"/>
  <c r="U840" i="61"/>
  <c r="X840" i="61"/>
  <c r="M841" i="61" l="1"/>
  <c r="X841" i="61"/>
  <c r="U841" i="61"/>
  <c r="R841" i="61"/>
  <c r="M842" i="61" l="1"/>
  <c r="U842" i="61"/>
  <c r="R842" i="61"/>
  <c r="X842" i="61"/>
  <c r="M843" i="61" l="1"/>
  <c r="X843" i="61"/>
  <c r="R843" i="61"/>
  <c r="U843" i="61"/>
  <c r="M844" i="61" l="1"/>
  <c r="R844" i="61"/>
  <c r="X844" i="61"/>
  <c r="U844" i="61"/>
  <c r="M845" i="61" l="1"/>
  <c r="U845" i="61"/>
  <c r="X845" i="61"/>
  <c r="R845" i="61"/>
  <c r="M846" i="61" l="1"/>
  <c r="R846" i="61"/>
  <c r="U846" i="61"/>
  <c r="X846" i="61"/>
  <c r="M847" i="61" l="1"/>
  <c r="R847" i="61"/>
  <c r="X847" i="61"/>
  <c r="U847" i="61"/>
  <c r="M848" i="61" l="1"/>
  <c r="U848" i="61"/>
  <c r="X848" i="61"/>
  <c r="R848" i="61"/>
  <c r="M849" i="61" l="1"/>
  <c r="R849" i="61"/>
  <c r="X849" i="61"/>
  <c r="U849" i="61"/>
  <c r="M850" i="61" l="1"/>
  <c r="R850" i="61"/>
  <c r="U850" i="61"/>
  <c r="X850" i="61"/>
  <c r="M851" i="61" l="1"/>
  <c r="R851" i="61"/>
  <c r="X851" i="61"/>
  <c r="U851" i="61"/>
  <c r="M852" i="61" l="1"/>
  <c r="X852" i="61"/>
  <c r="R852" i="61"/>
  <c r="U852" i="61"/>
  <c r="M853" i="61" l="1"/>
  <c r="X853" i="61"/>
  <c r="R853" i="61"/>
  <c r="U853" i="61"/>
  <c r="M854" i="61" l="1"/>
  <c r="U854" i="61"/>
  <c r="R854" i="61"/>
  <c r="X854" i="61"/>
  <c r="M855" i="61" l="1"/>
  <c r="R855" i="61"/>
  <c r="U855" i="61"/>
  <c r="X855" i="61"/>
  <c r="M856" i="61" l="1"/>
  <c r="U856" i="61"/>
  <c r="X856" i="61"/>
  <c r="R856" i="61"/>
  <c r="M857" i="61" l="1"/>
  <c r="R857" i="61"/>
  <c r="X857" i="61"/>
  <c r="U857" i="61"/>
  <c r="M858" i="61" l="1"/>
  <c r="X858" i="61"/>
  <c r="U858" i="61"/>
  <c r="R858" i="61"/>
  <c r="M859" i="61" l="1"/>
  <c r="U859" i="61"/>
  <c r="X859" i="61"/>
  <c r="R859" i="61"/>
  <c r="M860" i="61" l="1"/>
  <c r="X860" i="61"/>
  <c r="R860" i="61"/>
  <c r="U860" i="61"/>
  <c r="M861" i="61" l="1"/>
  <c r="U861" i="61"/>
  <c r="R861" i="61"/>
  <c r="X861" i="61"/>
  <c r="M862" i="61" l="1"/>
  <c r="R862" i="61"/>
  <c r="U862" i="61"/>
  <c r="X862" i="61"/>
  <c r="M863" i="61" l="1"/>
  <c r="X863" i="61"/>
  <c r="R863" i="61"/>
  <c r="U863" i="61"/>
  <c r="M864" i="61" l="1"/>
  <c r="X864" i="61"/>
  <c r="R864" i="61"/>
  <c r="U864" i="61"/>
  <c r="M865" i="61" l="1"/>
  <c r="X865" i="61"/>
  <c r="R865" i="61"/>
  <c r="U865" i="61"/>
  <c r="M866" i="61" l="1"/>
  <c r="U866" i="61"/>
  <c r="R866" i="61"/>
  <c r="X866" i="61"/>
  <c r="M867" i="61" l="1"/>
  <c r="U867" i="61"/>
  <c r="X867" i="61"/>
  <c r="R867" i="61"/>
  <c r="M868" i="61" l="1"/>
  <c r="U868" i="61"/>
  <c r="R868" i="61"/>
  <c r="X868" i="61"/>
  <c r="M869" i="61" l="1"/>
  <c r="U869" i="61"/>
  <c r="X869" i="61"/>
  <c r="R869" i="61"/>
  <c r="M870" i="61" l="1"/>
  <c r="U870" i="61"/>
  <c r="R870" i="61"/>
  <c r="X870" i="61"/>
  <c r="M871" i="61" l="1"/>
  <c r="R871" i="61"/>
  <c r="U871" i="61"/>
  <c r="X871" i="61"/>
  <c r="M872" i="61" l="1"/>
  <c r="X872" i="61"/>
  <c r="U872" i="61"/>
  <c r="R872" i="61"/>
  <c r="M873" i="61" l="1"/>
  <c r="U873" i="61"/>
  <c r="X873" i="61"/>
  <c r="R873" i="61"/>
  <c r="M874" i="61" l="1"/>
  <c r="U874" i="61"/>
  <c r="X874" i="61"/>
  <c r="R874" i="61"/>
  <c r="M875" i="61" l="1"/>
  <c r="X875" i="61"/>
  <c r="R875" i="61"/>
  <c r="U875" i="61"/>
  <c r="M876" i="61" l="1"/>
  <c r="R876" i="61"/>
  <c r="U876" i="61"/>
  <c r="X876" i="61"/>
  <c r="M877" i="61" l="1"/>
  <c r="U877" i="61"/>
  <c r="X877" i="61"/>
  <c r="R877" i="61"/>
  <c r="M878" i="61" l="1"/>
  <c r="R878" i="61"/>
  <c r="X878" i="61"/>
  <c r="U878" i="61"/>
  <c r="M879" i="61" l="1"/>
  <c r="U879" i="61"/>
  <c r="R879" i="61"/>
  <c r="X879" i="61"/>
  <c r="M880" i="61" l="1"/>
  <c r="R880" i="61"/>
  <c r="X880" i="61"/>
  <c r="U880" i="61"/>
  <c r="M881" i="61" l="1"/>
  <c r="X881" i="61"/>
  <c r="U881" i="61"/>
  <c r="R881" i="61"/>
  <c r="M882" i="61" l="1"/>
  <c r="X882" i="61"/>
  <c r="U882" i="61"/>
  <c r="R882" i="61"/>
  <c r="M883" i="61" l="1"/>
  <c r="U883" i="61"/>
  <c r="R883" i="61"/>
  <c r="X883" i="61"/>
  <c r="M884" i="61" l="1"/>
  <c r="R884" i="61"/>
  <c r="X884" i="61"/>
  <c r="U884" i="61"/>
  <c r="M885" i="61" l="1"/>
  <c r="X885" i="61"/>
  <c r="R885" i="61"/>
  <c r="U885" i="61"/>
  <c r="M886" i="61" l="1"/>
  <c r="R886" i="61"/>
  <c r="U886" i="61"/>
  <c r="X886" i="61"/>
  <c r="M887" i="61" l="1"/>
  <c r="X887" i="61"/>
  <c r="U887" i="61"/>
  <c r="R887" i="61"/>
  <c r="M888" i="61" l="1"/>
  <c r="X888" i="61"/>
  <c r="R888" i="61"/>
  <c r="U888" i="61"/>
  <c r="M889" i="61" l="1"/>
  <c r="R889" i="61"/>
  <c r="X889" i="61"/>
  <c r="U889" i="61"/>
  <c r="M890" i="61" l="1"/>
  <c r="X890" i="61"/>
  <c r="R890" i="61"/>
  <c r="U890" i="61"/>
  <c r="M891" i="61" l="1"/>
  <c r="R891" i="61"/>
  <c r="X891" i="61"/>
  <c r="U891" i="61"/>
  <c r="M892" i="61" l="1"/>
  <c r="U892" i="61"/>
  <c r="R892" i="61"/>
  <c r="X892" i="61"/>
  <c r="M893" i="61" l="1"/>
  <c r="U893" i="61"/>
  <c r="X893" i="61"/>
  <c r="R893" i="61"/>
  <c r="M894" i="61" l="1"/>
  <c r="X894" i="61"/>
  <c r="U894" i="61"/>
  <c r="R894" i="61"/>
  <c r="M895" i="61" l="1"/>
  <c r="R895" i="61"/>
  <c r="U895" i="61"/>
  <c r="X895" i="61"/>
  <c r="M896" i="61" l="1"/>
  <c r="X896" i="61"/>
  <c r="R896" i="61"/>
  <c r="U896" i="61"/>
  <c r="M897" i="61" l="1"/>
  <c r="R897" i="61"/>
  <c r="X897" i="61"/>
  <c r="U897" i="61"/>
  <c r="M898" i="61" l="1"/>
  <c r="U898" i="61"/>
  <c r="X898" i="61"/>
  <c r="R898" i="61"/>
  <c r="M899" i="61" l="1"/>
  <c r="U899" i="61"/>
  <c r="X899" i="61"/>
  <c r="R899" i="61"/>
  <c r="M900" i="61" l="1"/>
  <c r="U900" i="61"/>
  <c r="R900" i="61"/>
  <c r="X900" i="61"/>
  <c r="M901" i="61" l="1"/>
  <c r="U901" i="61"/>
  <c r="R901" i="61"/>
  <c r="X901" i="61"/>
  <c r="M902" i="61" l="1"/>
  <c r="U902" i="61"/>
  <c r="X902" i="61"/>
  <c r="R902" i="61"/>
  <c r="M903" i="61" l="1"/>
  <c r="U903" i="61"/>
  <c r="R903" i="61"/>
  <c r="X903" i="61"/>
  <c r="M904" i="61" l="1"/>
  <c r="R904" i="61"/>
  <c r="X904" i="61"/>
  <c r="U904" i="61"/>
  <c r="M905" i="61" l="1"/>
  <c r="X905" i="61"/>
  <c r="R905" i="61"/>
  <c r="U905" i="61"/>
  <c r="M906" i="61" l="1"/>
  <c r="X906" i="61"/>
  <c r="R906" i="61"/>
  <c r="U906" i="61"/>
  <c r="M907" i="61" l="1"/>
  <c r="U907" i="61"/>
  <c r="X907" i="61"/>
  <c r="R907" i="61"/>
  <c r="M908" i="61" l="1"/>
  <c r="R908" i="61"/>
  <c r="X908" i="61"/>
  <c r="U908" i="61"/>
  <c r="M909" i="61" l="1"/>
  <c r="X909" i="61"/>
  <c r="R909" i="61"/>
  <c r="U909" i="61"/>
  <c r="M910" i="61" l="1"/>
  <c r="X910" i="61"/>
  <c r="R910" i="61"/>
  <c r="U910" i="61"/>
  <c r="M911" i="61" l="1"/>
  <c r="X911" i="61"/>
  <c r="R911" i="61"/>
  <c r="U911" i="61"/>
  <c r="M912" i="61" l="1"/>
  <c r="X912" i="61"/>
  <c r="U912" i="61"/>
  <c r="R912" i="61"/>
  <c r="M913" i="61" l="1"/>
  <c r="X913" i="61"/>
  <c r="U913" i="61"/>
  <c r="R913" i="61"/>
  <c r="M914" i="61" l="1"/>
  <c r="U914" i="61"/>
  <c r="R914" i="61"/>
  <c r="X914" i="61"/>
  <c r="M915" i="61" l="1"/>
  <c r="U915" i="61"/>
  <c r="X915" i="61"/>
  <c r="R915" i="61"/>
  <c r="M916" i="61" l="1"/>
  <c r="X916" i="61"/>
  <c r="R916" i="61"/>
  <c r="U916" i="61"/>
  <c r="M917" i="61" l="1"/>
  <c r="U917" i="61"/>
  <c r="X917" i="61"/>
  <c r="R917" i="61"/>
  <c r="M918" i="61" l="1"/>
  <c r="X918" i="61"/>
  <c r="R918" i="61"/>
  <c r="U918" i="61"/>
  <c r="M919" i="61" l="1"/>
  <c r="U919" i="61"/>
  <c r="X919" i="61"/>
  <c r="R919" i="61"/>
  <c r="M920" i="61" l="1"/>
  <c r="R920" i="61"/>
  <c r="U920" i="61"/>
  <c r="X920" i="61"/>
  <c r="M921" i="61" l="1"/>
  <c r="R921" i="61"/>
  <c r="X921" i="61"/>
  <c r="U921" i="61"/>
  <c r="M922" i="61" l="1"/>
  <c r="X922" i="61"/>
  <c r="U922" i="61"/>
  <c r="R922" i="61"/>
  <c r="M923" i="61" l="1"/>
  <c r="X923" i="61"/>
  <c r="U923" i="61"/>
  <c r="R923" i="61"/>
  <c r="M924" i="61" l="1"/>
  <c r="X924" i="61"/>
  <c r="U924" i="61"/>
  <c r="R924" i="61"/>
  <c r="M925" i="61" l="1"/>
  <c r="U925" i="61"/>
  <c r="R925" i="61"/>
  <c r="X925" i="61"/>
  <c r="M926" i="61" l="1"/>
  <c r="R926" i="61"/>
  <c r="U926" i="61"/>
  <c r="X926" i="61"/>
  <c r="M927" i="61" l="1"/>
  <c r="X927" i="61"/>
  <c r="R927" i="61"/>
  <c r="U927" i="61"/>
  <c r="M928" i="61" l="1"/>
  <c r="X928" i="61"/>
  <c r="R928" i="61"/>
  <c r="U928" i="61"/>
  <c r="M929" i="61" l="1"/>
  <c r="R929" i="61"/>
  <c r="X929" i="61"/>
  <c r="U929" i="61"/>
  <c r="M930" i="61" l="1"/>
  <c r="R930" i="61"/>
  <c r="U930" i="61"/>
  <c r="X930" i="61"/>
  <c r="M931" i="61" l="1"/>
  <c r="U931" i="61"/>
  <c r="X931" i="61"/>
  <c r="R931" i="61"/>
  <c r="M932" i="61" l="1"/>
  <c r="X932" i="61"/>
  <c r="R932" i="61"/>
  <c r="U932" i="61"/>
  <c r="M933" i="61" l="1"/>
  <c r="X933" i="61"/>
  <c r="U933" i="61"/>
  <c r="R933" i="61"/>
  <c r="M934" i="61" l="1"/>
  <c r="X934" i="61"/>
  <c r="R934" i="61"/>
  <c r="U934" i="61"/>
  <c r="M935" i="61" l="1"/>
  <c r="R935" i="61"/>
  <c r="X935" i="61"/>
  <c r="U935" i="61"/>
  <c r="M936" i="61" l="1"/>
  <c r="U936" i="61"/>
  <c r="X936" i="61"/>
  <c r="R936" i="61"/>
  <c r="M937" i="61" l="1"/>
  <c r="X937" i="61"/>
  <c r="U937" i="61"/>
  <c r="R937" i="61"/>
  <c r="M938" i="61" l="1"/>
  <c r="R938" i="61"/>
  <c r="U938" i="61"/>
  <c r="X938" i="61"/>
  <c r="M939" i="61" l="1"/>
  <c r="R939" i="61"/>
  <c r="U939" i="61"/>
  <c r="X939" i="61"/>
  <c r="M940" i="61" l="1"/>
  <c r="R940" i="61"/>
  <c r="X940" i="61"/>
  <c r="U940" i="61"/>
  <c r="M941" i="61" l="1"/>
  <c r="U941" i="61"/>
  <c r="X941" i="61"/>
  <c r="R941" i="61"/>
  <c r="M942" i="61" l="1"/>
  <c r="U942" i="61"/>
  <c r="X942" i="61"/>
  <c r="R942" i="61"/>
  <c r="M943" i="61" l="1"/>
  <c r="X943" i="61"/>
  <c r="R943" i="61"/>
  <c r="U943" i="61"/>
  <c r="M944" i="61" l="1"/>
  <c r="U944" i="61"/>
  <c r="R944" i="61"/>
  <c r="X944" i="61"/>
  <c r="M945" i="61" l="1"/>
  <c r="U945" i="61"/>
  <c r="R945" i="61"/>
  <c r="X945" i="61"/>
  <c r="M946" i="61" l="1"/>
  <c r="U946" i="61"/>
  <c r="R946" i="61"/>
  <c r="X946" i="61"/>
  <c r="M947" i="61" l="1"/>
  <c r="U947" i="61"/>
  <c r="X947" i="61"/>
  <c r="R947" i="61"/>
  <c r="M948" i="61" l="1"/>
  <c r="X948" i="61"/>
  <c r="U948" i="61"/>
  <c r="R948" i="61"/>
  <c r="M949" i="61" l="1"/>
  <c r="X949" i="61"/>
  <c r="R949" i="61"/>
  <c r="U949" i="61"/>
  <c r="M950" i="61" l="1"/>
  <c r="X950" i="61"/>
  <c r="U950" i="61"/>
  <c r="R950" i="61"/>
  <c r="M951" i="61" l="1"/>
  <c r="X951" i="61"/>
  <c r="U951" i="61"/>
  <c r="R951" i="61"/>
  <c r="M952" i="61" l="1"/>
  <c r="X952" i="61"/>
  <c r="R952" i="61"/>
  <c r="U952" i="61"/>
  <c r="M953" i="61" l="1"/>
  <c r="R953" i="61"/>
  <c r="U953" i="61"/>
  <c r="X953" i="61"/>
  <c r="M954" i="61" l="1"/>
  <c r="U954" i="61"/>
  <c r="R954" i="61"/>
  <c r="X954" i="61"/>
  <c r="M955" i="61" l="1"/>
  <c r="X955" i="61"/>
  <c r="R955" i="61"/>
  <c r="U955" i="61"/>
  <c r="M956" i="61" l="1"/>
  <c r="U956" i="61"/>
  <c r="R956" i="61"/>
  <c r="X956" i="61"/>
  <c r="M957" i="61" l="1"/>
  <c r="X957" i="61"/>
  <c r="U957" i="61"/>
  <c r="R957" i="61"/>
  <c r="M958" i="61" l="1"/>
  <c r="U958" i="61"/>
  <c r="X958" i="61"/>
  <c r="R958" i="61"/>
  <c r="M959" i="61" l="1"/>
  <c r="X959" i="61"/>
  <c r="U959" i="61"/>
  <c r="R959" i="61"/>
  <c r="M960" i="61" l="1"/>
  <c r="R960" i="61"/>
  <c r="U960" i="61"/>
  <c r="X960" i="61"/>
  <c r="M961" i="61" l="1"/>
  <c r="U961" i="61"/>
  <c r="R961" i="61"/>
  <c r="X961" i="61"/>
  <c r="M962" i="61" l="1"/>
  <c r="U962" i="61"/>
  <c r="X962" i="61"/>
  <c r="R962" i="61"/>
  <c r="M963" i="61" l="1"/>
  <c r="X963" i="61"/>
  <c r="R963" i="61"/>
  <c r="U963" i="61"/>
  <c r="M964" i="61" l="1"/>
  <c r="U964" i="61"/>
  <c r="X964" i="61"/>
  <c r="R964" i="61"/>
  <c r="M965" i="61" l="1"/>
  <c r="X965" i="61"/>
  <c r="R965" i="61"/>
  <c r="U965" i="61"/>
  <c r="M966" i="61" l="1"/>
  <c r="X966" i="61"/>
  <c r="R966" i="61"/>
  <c r="U966" i="61"/>
  <c r="M967" i="61" l="1"/>
  <c r="R967" i="61"/>
  <c r="X967" i="61"/>
  <c r="U967" i="61"/>
  <c r="M968" i="61" l="1"/>
  <c r="U968" i="61"/>
  <c r="X968" i="61"/>
  <c r="R968" i="61"/>
  <c r="M969" i="61" l="1"/>
  <c r="R969" i="61"/>
  <c r="U969" i="61"/>
  <c r="X969" i="61"/>
  <c r="M970" i="61" l="1"/>
  <c r="R970" i="61"/>
  <c r="U970" i="61"/>
  <c r="X970" i="61"/>
  <c r="M971" i="61" l="1"/>
  <c r="U971" i="61"/>
  <c r="X971" i="61"/>
  <c r="R971" i="61"/>
  <c r="M972" i="61" l="1"/>
  <c r="U972" i="61"/>
  <c r="X972" i="61"/>
  <c r="R972" i="61"/>
  <c r="M973" i="61" l="1"/>
  <c r="X973" i="61"/>
  <c r="R973" i="61"/>
  <c r="U973" i="61"/>
  <c r="M974" i="61" l="1"/>
  <c r="X974" i="61"/>
  <c r="U974" i="61"/>
  <c r="R974" i="61"/>
  <c r="M975" i="61" l="1"/>
  <c r="U975" i="61"/>
  <c r="X975" i="61"/>
  <c r="R975" i="61"/>
  <c r="M976" i="61" l="1"/>
  <c r="R976" i="61"/>
  <c r="X976" i="61"/>
  <c r="U976" i="61"/>
  <c r="M977" i="61" l="1"/>
  <c r="X977" i="61"/>
  <c r="R977" i="61"/>
  <c r="U977" i="61"/>
  <c r="M978" i="61" l="1"/>
  <c r="U978" i="61"/>
  <c r="R978" i="61"/>
  <c r="X978" i="61"/>
  <c r="M979" i="61" l="1"/>
  <c r="U979" i="61"/>
  <c r="R979" i="61"/>
  <c r="X979" i="61"/>
  <c r="M980" i="61" l="1"/>
  <c r="X980" i="61"/>
  <c r="R980" i="61"/>
  <c r="U980" i="61"/>
  <c r="M981" i="61" l="1"/>
  <c r="X981" i="61"/>
  <c r="R981" i="61"/>
  <c r="U981" i="61"/>
  <c r="M982" i="61" l="1"/>
  <c r="X982" i="61"/>
  <c r="U982" i="61"/>
  <c r="R982" i="61"/>
  <c r="M983" i="61" l="1"/>
  <c r="X983" i="61"/>
  <c r="R983" i="61"/>
  <c r="U983" i="61"/>
  <c r="M984" i="61" l="1"/>
  <c r="X984" i="61"/>
  <c r="U984" i="61"/>
  <c r="R984" i="61"/>
  <c r="M985" i="61" l="1"/>
  <c r="R985" i="61"/>
  <c r="X985" i="61"/>
  <c r="U985" i="61"/>
  <c r="M986" i="61" l="1"/>
  <c r="U986" i="61"/>
  <c r="X986" i="61"/>
  <c r="R986" i="61"/>
  <c r="M987" i="61" l="1"/>
  <c r="X987" i="61"/>
  <c r="R987" i="61"/>
  <c r="U987" i="61"/>
  <c r="M988" i="61" l="1"/>
  <c r="X988" i="61"/>
  <c r="U988" i="61"/>
  <c r="R988" i="61"/>
  <c r="M989" i="61" l="1"/>
  <c r="U989" i="61"/>
  <c r="R989" i="61"/>
  <c r="X989" i="61"/>
  <c r="M990" i="61" l="1"/>
  <c r="X990" i="61"/>
  <c r="U990" i="61"/>
  <c r="R990" i="61"/>
  <c r="M991" i="61" l="1"/>
  <c r="R991" i="61"/>
  <c r="X991" i="61"/>
  <c r="U991" i="61"/>
  <c r="M992" i="61" l="1"/>
  <c r="X992" i="61"/>
  <c r="Z7" i="61" s="1"/>
  <c r="U992" i="61"/>
  <c r="W9" i="61" s="1"/>
  <c r="R992" i="61"/>
  <c r="T5" i="61" s="1"/>
  <c r="Q3" i="61" l="1"/>
  <c r="Q14" i="61"/>
  <c r="Q9" i="61"/>
  <c r="Q16" i="61"/>
  <c r="Q5" i="61"/>
  <c r="Q6" i="61"/>
  <c r="Q13" i="61"/>
  <c r="Q4" i="61"/>
  <c r="Q7" i="61"/>
  <c r="Q11" i="61"/>
  <c r="Q10" i="61"/>
  <c r="Q12" i="61"/>
  <c r="Q8" i="61"/>
  <c r="Q15" i="61"/>
  <c r="Q19" i="61"/>
  <c r="Q17" i="61"/>
  <c r="Q18" i="61"/>
  <c r="Q21" i="61"/>
  <c r="Q20" i="61"/>
  <c r="Q22" i="61"/>
  <c r="Q25" i="61"/>
  <c r="Q23" i="61"/>
  <c r="Q24" i="61"/>
  <c r="Q26" i="61"/>
  <c r="Q27" i="61"/>
  <c r="Z50" i="61"/>
  <c r="Z724" i="61"/>
  <c r="Z573" i="61"/>
  <c r="Z989" i="61"/>
  <c r="Z139" i="61"/>
  <c r="Z807" i="61"/>
  <c r="Z42" i="61"/>
  <c r="Z446" i="61"/>
  <c r="Z947" i="61"/>
  <c r="Z218" i="61"/>
  <c r="Z67" i="61"/>
  <c r="Z260" i="61"/>
  <c r="Z809" i="61"/>
  <c r="Z270" i="61"/>
  <c r="Z490" i="61"/>
  <c r="Z208" i="61"/>
  <c r="Z601" i="61"/>
  <c r="Z915" i="61"/>
  <c r="Z276" i="61"/>
  <c r="Z308" i="61"/>
  <c r="Z834" i="61"/>
  <c r="Z596" i="61"/>
  <c r="Z273" i="61"/>
  <c r="Z486" i="61"/>
  <c r="Z512" i="61"/>
  <c r="Z507" i="61"/>
  <c r="Z413" i="61"/>
  <c r="Z127" i="61"/>
  <c r="Z189" i="61"/>
  <c r="Z716" i="61"/>
  <c r="Z853" i="61"/>
  <c r="Z790" i="61"/>
  <c r="Z140" i="61"/>
  <c r="Z185" i="61"/>
  <c r="Z190" i="61"/>
  <c r="Z394" i="61"/>
  <c r="Z950" i="61"/>
  <c r="Z319" i="61"/>
  <c r="Z150" i="61"/>
  <c r="Z939" i="61"/>
  <c r="Z661" i="61"/>
  <c r="Z983" i="61"/>
  <c r="Z149" i="61"/>
  <c r="Z440" i="61"/>
  <c r="Z578" i="61"/>
  <c r="Z335" i="61"/>
  <c r="Z914" i="61"/>
  <c r="Z160" i="61"/>
  <c r="Z903" i="61"/>
  <c r="Z229" i="61"/>
  <c r="Z675" i="61"/>
  <c r="Z329" i="61"/>
  <c r="Z770" i="61"/>
  <c r="Z198" i="61"/>
  <c r="Z695" i="61"/>
  <c r="Z280" i="61"/>
  <c r="Z268" i="61"/>
  <c r="Z550" i="61"/>
  <c r="Z599" i="61"/>
  <c r="Z407" i="61"/>
  <c r="Z750" i="61"/>
  <c r="Z733" i="61"/>
  <c r="Z649" i="61"/>
  <c r="Z448" i="61"/>
  <c r="Z103" i="61"/>
  <c r="Z219" i="61"/>
  <c r="Z874" i="61"/>
  <c r="Z689" i="61"/>
  <c r="Z377" i="61"/>
  <c r="Z176" i="61"/>
  <c r="Z257" i="61"/>
  <c r="Z81" i="61"/>
  <c r="Z145" i="61"/>
  <c r="Z645" i="61"/>
  <c r="Z726" i="61"/>
  <c r="Z18" i="61"/>
  <c r="Z638" i="61"/>
  <c r="Z921" i="61"/>
  <c r="Z232" i="61"/>
  <c r="Z152" i="61"/>
  <c r="Z721" i="61"/>
  <c r="Z126" i="61"/>
  <c r="Z48" i="61"/>
  <c r="Z862" i="61"/>
  <c r="Z496" i="61"/>
  <c r="Z591" i="61"/>
  <c r="Z116" i="61"/>
  <c r="Z409" i="61"/>
  <c r="Z696" i="61"/>
  <c r="Z509" i="61"/>
  <c r="Z223" i="61"/>
  <c r="Z779" i="61"/>
  <c r="Z154" i="61"/>
  <c r="Z598" i="61"/>
  <c r="Z349" i="61"/>
  <c r="Z63" i="61"/>
  <c r="Z125" i="61"/>
  <c r="Z954" i="61"/>
  <c r="Z917" i="61"/>
  <c r="Z854" i="61"/>
  <c r="Z76" i="61"/>
  <c r="Z315" i="61"/>
  <c r="Z549" i="61"/>
  <c r="Z79" i="61"/>
  <c r="Z385" i="61"/>
  <c r="Z243" i="61"/>
  <c r="Z774" i="61"/>
  <c r="Z156" i="61"/>
  <c r="Z818" i="61"/>
  <c r="Z73" i="61"/>
  <c r="Z8" i="61"/>
  <c r="Z13" i="61"/>
  <c r="Z489" i="61"/>
  <c r="Z107" i="61"/>
  <c r="Z153" i="61"/>
  <c r="Z109" i="61"/>
  <c r="Z970" i="61"/>
  <c r="Z755" i="61"/>
  <c r="Z318" i="61"/>
  <c r="Z569" i="61"/>
  <c r="Z294" i="61"/>
  <c r="Z842" i="61"/>
  <c r="Z323" i="61"/>
  <c r="Z557" i="61"/>
  <c r="Z314" i="61"/>
  <c r="Z336" i="61"/>
  <c r="Z945" i="61"/>
  <c r="Z560" i="61"/>
  <c r="Z971" i="61"/>
  <c r="Z878" i="61"/>
  <c r="Z771" i="61"/>
  <c r="Z572" i="61"/>
  <c r="Z354" i="61"/>
  <c r="Z530" i="61"/>
  <c r="Z29" i="61"/>
  <c r="Z580" i="61"/>
  <c r="Z56" i="61"/>
  <c r="Z542" i="61"/>
  <c r="Z484" i="61"/>
  <c r="Z977" i="61"/>
  <c r="Z609" i="61"/>
  <c r="Z652" i="61"/>
  <c r="Z240" i="61"/>
  <c r="Z90" i="61"/>
  <c r="Z847" i="61"/>
  <c r="Z199" i="61"/>
  <c r="Z492" i="61"/>
  <c r="Z698" i="61"/>
  <c r="Z142" i="61"/>
  <c r="Z390" i="61"/>
  <c r="Z322" i="61"/>
  <c r="Z131" i="61"/>
  <c r="Z469" i="61"/>
  <c r="Z432" i="61"/>
  <c r="Z655" i="61"/>
  <c r="Z52" i="61"/>
  <c r="Z345" i="61"/>
  <c r="Z418" i="61"/>
  <c r="Z445" i="61"/>
  <c r="Z159" i="61"/>
  <c r="Z82" i="61"/>
  <c r="Z241" i="61"/>
  <c r="Z639" i="61"/>
  <c r="Z468" i="61"/>
  <c r="Z278" i="61"/>
  <c r="Z525" i="61"/>
  <c r="Z239" i="61"/>
  <c r="Z481" i="61"/>
  <c r="Z339" i="61"/>
  <c r="Z741" i="61"/>
  <c r="Z279" i="61"/>
  <c r="Z62" i="61"/>
  <c r="Z738" i="61"/>
  <c r="Z80" i="61"/>
  <c r="Z36" i="61"/>
  <c r="Z316" i="61"/>
  <c r="Z470" i="61"/>
  <c r="Z574" i="61"/>
  <c r="Z186" i="61"/>
  <c r="Z157" i="61"/>
  <c r="Z130" i="61"/>
  <c r="Z471" i="61"/>
  <c r="Z669" i="61"/>
  <c r="Z857" i="61"/>
  <c r="Z443" i="61"/>
  <c r="Z615" i="61"/>
  <c r="Z899" i="61"/>
  <c r="Z283" i="61"/>
  <c r="Z781" i="61"/>
  <c r="Z937" i="61"/>
  <c r="Z123" i="61"/>
  <c r="Z357" i="61"/>
  <c r="Z203" i="61"/>
  <c r="Z873" i="61"/>
  <c r="Z614" i="61"/>
  <c r="Z538" i="61"/>
  <c r="Z969" i="61"/>
  <c r="Z288" i="61"/>
  <c r="Z743" i="61"/>
  <c r="Z949" i="61"/>
  <c r="Z886" i="61"/>
  <c r="Z44" i="61"/>
  <c r="Z296" i="61"/>
  <c r="Z875" i="61"/>
  <c r="Z597" i="61"/>
  <c r="Z919" i="61"/>
  <c r="Z213" i="61"/>
  <c r="Z493" i="61"/>
  <c r="Z148" i="61"/>
  <c r="Z757" i="61"/>
  <c r="Z612" i="61"/>
  <c r="Z53" i="61"/>
  <c r="Z170" i="61"/>
  <c r="Z683" i="61"/>
  <c r="Z727" i="61"/>
  <c r="Z216" i="61"/>
  <c r="Z694" i="61"/>
  <c r="Z3" i="61"/>
  <c r="Z69" i="61"/>
  <c r="Z576" i="61"/>
  <c r="Z233" i="61"/>
  <c r="Z647" i="61"/>
  <c r="Z359" i="61"/>
  <c r="Z289" i="61"/>
  <c r="Z459" i="61"/>
  <c r="Z879" i="61"/>
  <c r="Z979" i="61"/>
  <c r="Z959" i="61"/>
  <c r="Z399" i="61"/>
  <c r="Z766" i="61"/>
  <c r="Z106" i="61"/>
  <c r="Z451" i="61"/>
  <c r="Z321" i="61"/>
  <c r="Z729" i="61"/>
  <c r="Z881" i="61"/>
  <c r="Z325" i="61"/>
  <c r="Z715" i="61"/>
  <c r="Z162" i="61"/>
  <c r="Z456" i="61"/>
  <c r="Z858" i="61"/>
  <c r="Z656" i="61"/>
  <c r="Z707" i="61"/>
  <c r="Z957" i="61"/>
  <c r="Z710" i="61"/>
  <c r="Z665" i="61"/>
  <c r="Z242" i="61"/>
  <c r="Z212" i="61"/>
  <c r="Z302" i="61"/>
  <c r="Z522" i="61"/>
  <c r="Z586" i="61"/>
  <c r="Z57" i="61"/>
  <c r="Z708" i="61"/>
  <c r="Z942" i="61"/>
  <c r="Z720" i="61"/>
  <c r="Z124" i="61"/>
  <c r="Z786" i="61"/>
  <c r="Z105" i="61"/>
  <c r="Z775" i="61"/>
  <c r="Z54" i="61"/>
  <c r="Z299" i="61"/>
  <c r="Z320" i="61"/>
  <c r="Z254" i="61"/>
  <c r="Z929" i="61"/>
  <c r="Z133" i="61"/>
  <c r="Z803" i="61"/>
  <c r="Z297" i="61"/>
  <c r="Z583" i="61"/>
  <c r="Z423" i="61"/>
  <c r="Z419" i="61"/>
  <c r="Z202" i="61"/>
  <c r="Z815" i="61"/>
  <c r="Z819" i="61"/>
  <c r="Z889" i="61"/>
  <c r="Z333" i="61"/>
  <c r="Z987" i="61"/>
  <c r="Z488" i="61"/>
  <c r="Z352" i="61"/>
  <c r="Z735" i="61"/>
  <c r="Z274" i="61"/>
  <c r="Z635" i="61"/>
  <c r="Z505" i="61"/>
  <c r="Z121" i="61"/>
  <c r="Z742" i="61"/>
  <c r="Z14" i="61"/>
  <c r="Z494" i="61"/>
  <c r="Z180" i="61"/>
  <c r="Z556" i="61"/>
  <c r="Z630" i="61"/>
  <c r="Z292" i="61"/>
  <c r="Z31" i="61"/>
  <c r="Z670" i="61"/>
  <c r="Z366" i="61"/>
  <c r="Z206" i="61"/>
  <c r="Z769" i="61"/>
  <c r="Z396" i="61"/>
  <c r="Z877" i="61"/>
  <c r="Z686" i="61"/>
  <c r="Z272" i="61"/>
  <c r="Z674" i="61"/>
  <c r="Z389" i="61"/>
  <c r="Z701" i="61"/>
  <c r="Z712" i="61"/>
  <c r="Z129" i="61"/>
  <c r="Z167" i="61"/>
  <c r="Z401" i="61"/>
  <c r="Z637" i="61"/>
  <c r="Z136" i="61"/>
  <c r="Z498" i="61"/>
  <c r="Z907" i="61"/>
  <c r="Z379" i="61"/>
  <c r="Z305" i="61"/>
  <c r="Z714" i="61"/>
  <c r="Z207" i="61"/>
  <c r="Z513" i="61"/>
  <c r="Z32" i="61"/>
  <c r="Z479" i="61"/>
  <c r="Z101" i="61"/>
  <c r="Z690" i="61"/>
  <c r="Z201" i="61"/>
  <c r="Z466" i="61"/>
  <c r="Z60" i="61"/>
  <c r="Z850" i="61"/>
  <c r="Z41" i="61"/>
  <c r="Z839" i="61"/>
  <c r="Z293" i="61"/>
  <c r="Z43" i="61"/>
  <c r="Z192" i="61"/>
  <c r="Z600" i="61"/>
  <c r="Z837" i="61"/>
  <c r="Z467" i="61"/>
  <c r="Z77" i="61"/>
  <c r="Z553" i="61"/>
  <c r="Z24" i="61"/>
  <c r="Z347" i="61"/>
  <c r="Z991" i="61"/>
  <c r="Z264" i="61"/>
  <c r="Z891" i="61"/>
  <c r="Z935" i="61"/>
  <c r="Z351" i="61"/>
  <c r="Z629" i="61"/>
  <c r="Z951" i="61"/>
  <c r="Z181" i="61"/>
  <c r="Z388" i="61"/>
  <c r="Z811" i="61"/>
  <c r="Z506" i="61"/>
  <c r="Z855" i="61"/>
  <c r="Z277" i="61"/>
  <c r="Z829" i="61"/>
  <c r="Z893" i="61"/>
  <c r="Z491" i="61"/>
  <c r="Z387" i="61"/>
  <c r="Z734" i="61"/>
  <c r="Z487" i="61"/>
  <c r="Z11" i="61"/>
  <c r="Z621" i="61"/>
  <c r="Z680" i="61"/>
  <c r="Z502" i="61"/>
  <c r="Z504" i="61"/>
  <c r="Z913" i="61"/>
  <c r="Z608" i="61"/>
  <c r="Z861" i="61"/>
  <c r="Z835" i="61"/>
  <c r="Z934" i="61"/>
  <c r="Z93" i="61"/>
  <c r="Z262" i="61"/>
  <c r="Z672" i="61"/>
  <c r="Z817" i="61"/>
  <c r="Z455" i="61"/>
  <c r="Z114" i="61"/>
  <c r="Z659" i="61"/>
  <c r="Z376" i="61"/>
  <c r="Z454" i="61"/>
  <c r="Z158" i="61"/>
  <c r="Z115" i="61"/>
  <c r="Z902" i="61"/>
  <c r="Z28" i="61"/>
  <c r="Z946" i="61"/>
  <c r="Z128" i="61"/>
  <c r="Z826" i="61"/>
  <c r="Z143" i="61"/>
  <c r="Z449" i="61"/>
  <c r="Z307" i="61"/>
  <c r="Z644" i="61"/>
  <c r="Z37" i="61"/>
  <c r="Z754" i="61"/>
  <c r="Z137" i="61"/>
  <c r="Z718" i="61"/>
  <c r="Z613" i="61"/>
  <c r="Z4" i="61"/>
  <c r="Z252" i="61"/>
  <c r="Z700" i="61"/>
  <c r="Z217" i="61"/>
  <c r="Z173" i="61"/>
  <c r="Z906" i="61"/>
  <c r="Z298" i="61"/>
  <c r="Z358" i="61"/>
  <c r="Z885" i="61"/>
  <c r="Z822" i="61"/>
  <c r="Z108" i="61"/>
  <c r="Z383" i="61"/>
  <c r="Z592" i="61"/>
  <c r="Z789" i="61"/>
  <c r="Z676" i="61"/>
  <c r="Z21" i="61"/>
  <c r="Z713" i="61"/>
  <c r="Z344" i="61"/>
  <c r="Z625" i="61"/>
  <c r="Z922" i="61"/>
  <c r="Z249" i="61"/>
  <c r="Z730" i="61"/>
  <c r="Z643" i="61"/>
  <c r="Z499" i="61"/>
  <c r="Z833" i="61"/>
  <c r="Z391" i="61"/>
  <c r="Z523" i="61"/>
  <c r="Z392" i="61"/>
  <c r="Z91" i="61"/>
  <c r="Z739" i="61"/>
  <c r="Z933" i="61"/>
  <c r="Z458" i="61"/>
  <c r="Z797" i="61"/>
  <c r="Z636" i="61"/>
  <c r="Z365" i="61"/>
  <c r="Z20" i="61"/>
  <c r="Z562" i="61"/>
  <c r="Z865" i="61"/>
  <c r="Z182" i="61"/>
  <c r="Z534" i="61"/>
  <c r="Z70" i="61"/>
  <c r="Z660" i="61"/>
  <c r="Z478" i="61"/>
  <c r="Z74" i="61"/>
  <c r="Z424" i="61"/>
  <c r="Z330" i="61"/>
  <c r="Z751" i="61"/>
  <c r="Z673" i="61"/>
  <c r="Z441" i="61"/>
  <c r="Z161" i="61"/>
  <c r="Z427" i="61"/>
  <c r="Z911" i="61"/>
  <c r="Z135" i="61"/>
  <c r="Z428" i="61"/>
  <c r="Z798" i="61"/>
  <c r="Z528" i="61"/>
  <c r="Z558" i="61"/>
  <c r="Z547" i="61"/>
  <c r="Z723" i="61"/>
  <c r="Z895" i="61"/>
  <c r="Z463" i="61"/>
  <c r="Z731" i="61"/>
  <c r="Z678" i="61"/>
  <c r="Z196" i="61"/>
  <c r="Z310" i="61"/>
  <c r="Z30" i="61"/>
  <c r="Z83" i="61"/>
  <c r="Z582" i="61"/>
  <c r="Z23" i="61"/>
  <c r="Z290" i="61"/>
  <c r="Z561" i="61"/>
  <c r="Z163" i="61"/>
  <c r="Z119" i="61"/>
  <c r="Z412" i="61"/>
  <c r="Z100" i="61"/>
  <c r="Z195" i="61"/>
  <c r="Z238" i="61"/>
  <c r="Z191" i="61"/>
  <c r="Z473" i="61"/>
  <c r="Z982" i="61"/>
  <c r="Z795" i="61"/>
  <c r="Z799" i="61"/>
  <c r="Z699" i="61"/>
  <c r="Z704" i="61"/>
  <c r="Z685" i="61"/>
  <c r="Z386" i="61"/>
  <c r="Z187" i="61"/>
  <c r="Z421" i="61"/>
  <c r="Z785" i="61"/>
  <c r="Z650" i="61"/>
  <c r="Z589" i="61"/>
  <c r="Z453" i="61"/>
  <c r="Z668" i="61"/>
  <c r="Z59" i="61"/>
  <c r="Z974" i="61"/>
  <c r="Z563" i="61"/>
  <c r="Z72" i="61"/>
  <c r="Z651" i="61"/>
  <c r="Z384" i="61"/>
  <c r="Z590" i="61"/>
  <c r="Z193" i="61"/>
  <c r="Z658" i="61"/>
  <c r="Z961" i="61"/>
  <c r="Z267" i="61"/>
  <c r="Z408" i="61"/>
  <c r="Z430" i="61"/>
  <c r="Z442" i="61"/>
  <c r="Z328" i="61"/>
  <c r="Z859" i="61"/>
  <c r="Z894" i="61"/>
  <c r="Z480" i="61"/>
  <c r="Z607" i="61"/>
  <c r="Z436" i="61"/>
  <c r="Z438" i="61"/>
  <c r="Z214" i="61"/>
  <c r="Z831" i="61"/>
  <c r="Z210" i="61"/>
  <c r="Z667" i="61"/>
  <c r="Z324" i="61"/>
  <c r="Z47" i="61"/>
  <c r="Z236" i="61"/>
  <c r="Z147" i="61"/>
  <c r="Z285" i="61"/>
  <c r="Z342" i="61"/>
  <c r="Z631" i="61"/>
  <c r="Z375" i="61"/>
  <c r="Z369" i="61"/>
  <c r="Z227" i="61"/>
  <c r="Z183" i="61"/>
  <c r="Z476" i="61"/>
  <c r="Z642" i="61"/>
  <c r="Z271" i="61"/>
  <c r="Z978" i="61"/>
  <c r="Z96" i="61"/>
  <c r="Z838" i="61"/>
  <c r="Z92" i="61"/>
  <c r="Z882" i="61"/>
  <c r="Z9" i="61"/>
  <c r="Z846" i="61"/>
  <c r="Z909" i="61"/>
  <c r="Z546" i="61"/>
  <c r="Z113" i="61"/>
  <c r="Z626" i="61"/>
  <c r="Z617" i="61"/>
  <c r="Z406" i="61"/>
  <c r="Z474" i="61"/>
  <c r="Z434" i="61"/>
  <c r="Z810" i="61"/>
  <c r="Z75" i="61"/>
  <c r="Z618" i="61"/>
  <c r="Z753" i="61"/>
  <c r="Z460" i="61"/>
  <c r="Z259" i="61"/>
  <c r="Z346" i="61"/>
  <c r="Z926" i="61"/>
  <c r="Z46" i="61"/>
  <c r="Z531" i="61"/>
  <c r="Z761" i="61"/>
  <c r="Z581" i="61"/>
  <c r="Z602" i="61"/>
  <c r="Z205" i="61"/>
  <c r="Z684" i="61"/>
  <c r="Z38" i="61"/>
  <c r="Z26" i="61"/>
  <c r="Z863" i="61"/>
  <c r="Z431" i="61"/>
  <c r="Z763" i="61"/>
  <c r="Z17" i="61"/>
  <c r="Z697" i="61"/>
  <c r="Z628" i="61"/>
  <c r="Z200" i="61"/>
  <c r="Z923" i="61"/>
  <c r="Z405" i="61"/>
  <c r="Z416" i="61"/>
  <c r="Z671" i="61"/>
  <c r="Z372" i="61"/>
  <c r="Z571" i="61"/>
  <c r="Z679" i="61"/>
  <c r="Z356" i="61"/>
  <c r="Z565" i="61"/>
  <c r="Z887" i="61"/>
  <c r="Z245" i="61"/>
  <c r="Z452" i="61"/>
  <c r="Z374" i="61"/>
  <c r="Z510" i="61"/>
  <c r="Z10" i="61"/>
  <c r="Z197" i="61"/>
  <c r="Z843" i="61"/>
  <c r="Z250" i="61"/>
  <c r="Z266" i="61"/>
  <c r="Z783" i="61"/>
  <c r="Z263" i="61"/>
  <c r="Z258" i="61"/>
  <c r="Z340" i="61"/>
  <c r="Z400" i="61"/>
  <c r="Z687" i="61"/>
  <c r="Z501" i="61"/>
  <c r="Z472" i="61"/>
  <c r="Z517" i="61"/>
  <c r="Z653" i="61"/>
  <c r="Z666" i="61"/>
  <c r="Z851" i="61"/>
  <c r="Z49" i="61"/>
  <c r="Z585" i="61"/>
  <c r="Z570" i="61"/>
  <c r="Z503" i="61"/>
  <c r="Z27" i="61"/>
  <c r="Z332" i="61"/>
  <c r="Z110" i="61"/>
  <c r="Z634" i="61"/>
  <c r="Z362" i="61"/>
  <c r="Z641" i="61"/>
  <c r="Z986" i="61"/>
  <c r="Z749" i="61"/>
  <c r="Z555" i="61"/>
  <c r="Z104" i="61"/>
  <c r="Z890" i="61"/>
  <c r="Z657" i="61"/>
  <c r="Z664" i="61"/>
  <c r="Z398" i="61"/>
  <c r="Z132" i="61"/>
  <c r="Z425" i="61"/>
  <c r="Z611" i="61"/>
  <c r="Z6" i="61"/>
  <c r="Z692" i="61"/>
  <c r="Z301" i="61"/>
  <c r="Z410" i="61"/>
  <c r="Z709" i="61"/>
  <c r="Z910" i="61"/>
  <c r="Z141" i="61"/>
  <c r="Z938" i="61"/>
  <c r="Z97" i="61"/>
  <c r="Z411" i="61"/>
  <c r="Z927" i="61"/>
  <c r="Z367" i="61"/>
  <c r="Z827" i="61"/>
  <c r="Z514" i="61"/>
  <c r="Z78" i="61"/>
  <c r="Z231" i="61"/>
  <c r="Z821" i="61"/>
  <c r="Z758" i="61"/>
  <c r="Z172" i="61"/>
  <c r="Z447" i="61"/>
  <c r="Z747" i="61"/>
  <c r="Z230" i="61"/>
  <c r="Z791" i="61"/>
  <c r="Z341" i="61"/>
  <c r="Z801" i="61"/>
  <c r="Z194" i="61"/>
  <c r="Z171" i="61"/>
  <c r="Z256" i="61"/>
  <c r="Z511" i="61"/>
  <c r="Z711" i="61"/>
  <c r="Z248" i="61"/>
  <c r="Z33" i="61"/>
  <c r="Z395" i="61"/>
  <c r="Z943" i="61"/>
  <c r="Z941" i="61"/>
  <c r="Z782" i="61"/>
  <c r="Z282" i="61"/>
  <c r="Z610" i="61"/>
  <c r="Z370" i="61"/>
  <c r="Z627" i="61"/>
  <c r="Z845" i="61"/>
  <c r="Z745" i="61"/>
  <c r="Z40" i="61"/>
  <c r="Z794" i="61"/>
  <c r="Z286" i="61"/>
  <c r="Z605" i="61"/>
  <c r="Z604" i="61"/>
  <c r="Z313" i="61"/>
  <c r="Z871" i="61"/>
  <c r="Z184" i="61"/>
  <c r="Z905" i="61"/>
  <c r="Z624" i="61"/>
  <c r="Z705" i="61"/>
  <c r="Z284" i="61"/>
  <c r="Z841" i="61"/>
  <c r="Z251" i="61"/>
  <c r="Z767" i="61"/>
  <c r="Z338" i="61"/>
  <c r="Z603" i="61"/>
  <c r="Z397" i="61"/>
  <c r="Z111" i="61"/>
  <c r="Z353" i="61"/>
  <c r="Z211" i="61"/>
  <c r="Z371" i="61"/>
  <c r="Z575" i="61"/>
  <c r="Z532" i="61"/>
  <c r="Z51" i="61"/>
  <c r="Z966" i="61"/>
  <c r="Z303" i="61"/>
  <c r="Z545" i="61"/>
  <c r="Z64" i="61"/>
  <c r="Z962" i="61"/>
  <c r="Z34" i="61"/>
  <c r="Z87" i="61"/>
  <c r="Z380" i="61"/>
  <c r="Z930" i="61"/>
  <c r="Z144" i="61"/>
  <c r="Z393" i="61"/>
  <c r="Z429" i="61"/>
  <c r="Z477" i="61"/>
  <c r="Z253" i="61"/>
  <c r="Z564" i="61"/>
  <c r="Z287" i="61"/>
  <c r="Z234" i="61"/>
  <c r="Z520" i="61"/>
  <c r="Z426" i="61"/>
  <c r="Z778" i="61"/>
  <c r="Z901" i="61"/>
  <c r="Z209" i="61"/>
  <c r="Z360" i="61"/>
  <c r="Z814" i="61"/>
  <c r="Z825" i="61"/>
  <c r="Z548" i="61"/>
  <c r="Z646" i="61"/>
  <c r="Z606" i="61"/>
  <c r="Z616" i="61"/>
  <c r="Z373" i="61"/>
  <c r="Z485" i="61"/>
  <c r="Z334" i="61"/>
  <c r="Z963" i="61"/>
  <c r="Z403" i="61"/>
  <c r="Z717" i="61"/>
  <c r="Z98" i="61"/>
  <c r="Z595" i="61"/>
  <c r="Z435" i="61"/>
  <c r="Z420" i="61"/>
  <c r="Z830" i="61"/>
  <c r="Z422" i="61"/>
  <c r="Z138" i="61"/>
  <c r="Z497" i="61"/>
  <c r="Z16" i="61"/>
  <c r="Z311" i="61"/>
  <c r="Z188" i="61"/>
  <c r="Z706" i="61"/>
  <c r="Z66" i="61"/>
  <c r="Z151" i="61"/>
  <c r="Z444" i="61"/>
  <c r="Z866" i="61"/>
  <c r="Z25" i="61"/>
  <c r="Z164" i="61"/>
  <c r="Z457" i="61"/>
  <c r="Z593" i="61"/>
  <c r="Z495" i="61"/>
  <c r="Z134" i="61"/>
  <c r="Z662" i="61"/>
  <c r="Z228" i="61"/>
  <c r="Z178" i="61"/>
  <c r="Z61" i="61"/>
  <c r="Z537" i="61"/>
  <c r="Z981" i="61"/>
  <c r="Z918" i="61"/>
  <c r="Z12" i="61"/>
  <c r="Z640" i="61"/>
  <c r="Z269" i="61"/>
  <c r="Z559" i="61"/>
  <c r="Z58" i="61"/>
  <c r="Z224" i="61"/>
  <c r="Z568" i="61"/>
  <c r="Z86" i="61"/>
  <c r="Z955" i="61"/>
  <c r="Z326" i="61"/>
  <c r="Z65" i="61"/>
  <c r="Z681" i="61"/>
  <c r="Z533" i="61"/>
  <c r="Z677" i="61"/>
  <c r="Z515" i="61"/>
  <c r="Z450" i="61"/>
  <c r="Z166" i="61"/>
  <c r="Z84" i="61"/>
  <c r="Z898" i="61"/>
  <c r="Z765" i="61"/>
  <c r="Z813" i="61"/>
  <c r="Z622" i="61"/>
  <c r="Z177" i="61"/>
  <c r="Z762" i="61"/>
  <c r="Z691" i="61"/>
  <c r="Z953" i="61"/>
  <c r="Z146" i="61"/>
  <c r="Z155" i="61"/>
  <c r="Z793" i="61"/>
  <c r="Z633" i="61"/>
  <c r="Z295" i="61"/>
  <c r="Z529" i="61"/>
  <c r="Z577" i="61"/>
  <c r="Z759" i="61"/>
  <c r="Z118" i="61"/>
  <c r="Z94" i="61"/>
  <c r="Z99" i="61"/>
  <c r="Z55" i="61"/>
  <c r="Z348" i="61"/>
  <c r="Z415" i="61"/>
  <c r="Z355" i="61"/>
  <c r="Z567" i="61"/>
  <c r="Z439" i="61"/>
  <c r="Z433" i="61"/>
  <c r="Z291" i="61"/>
  <c r="Z247" i="61"/>
  <c r="Z540" i="61"/>
  <c r="Z849" i="61"/>
  <c r="Z312" i="61"/>
  <c r="Z587" i="61"/>
  <c r="Z552" i="61"/>
  <c r="Z368" i="61"/>
  <c r="Z719" i="61"/>
  <c r="Z327" i="61"/>
  <c r="Z220" i="61"/>
  <c r="Z566" i="61"/>
  <c r="Z381" i="61"/>
  <c r="Z95" i="61"/>
  <c r="Z244" i="61"/>
  <c r="Z15" i="61"/>
  <c r="Z300" i="61"/>
  <c r="Z179" i="61"/>
  <c r="Z461" i="61"/>
  <c r="Z175" i="61"/>
  <c r="Z417" i="61"/>
  <c r="Z275" i="61"/>
  <c r="Z337" i="61"/>
  <c r="Z648" i="61"/>
  <c r="Z990" i="61"/>
  <c r="Z483" i="61"/>
  <c r="Z465" i="61"/>
  <c r="Z475" i="61"/>
  <c r="Z437" i="61"/>
  <c r="Z925" i="61"/>
  <c r="Z579" i="61"/>
  <c r="Z584" i="61"/>
  <c r="Z22" i="61"/>
  <c r="Z702" i="61"/>
  <c r="Z554" i="61"/>
  <c r="Z535" i="61"/>
  <c r="Z787" i="61"/>
  <c r="Z122" i="61"/>
  <c r="Z551" i="61"/>
  <c r="Z746" i="61"/>
  <c r="Z536" i="61"/>
  <c r="Z773" i="61"/>
  <c r="Z174" i="61"/>
  <c r="Z965" i="61"/>
  <c r="Z806" i="61"/>
  <c r="Z221" i="61"/>
  <c r="Z693" i="61"/>
  <c r="Z378" i="61"/>
  <c r="Z117" i="61"/>
  <c r="Z306" i="61"/>
  <c r="Z619" i="61"/>
  <c r="Z663" i="61"/>
  <c r="Z343" i="61"/>
  <c r="Z39" i="61"/>
  <c r="Z204" i="61"/>
  <c r="Z414" i="61"/>
  <c r="Z823" i="61"/>
  <c r="Z309" i="61"/>
  <c r="Z516" i="61"/>
  <c r="Z35" i="61"/>
  <c r="Z246" i="61"/>
  <c r="Z226" i="61"/>
  <c r="Z688" i="61"/>
  <c r="Z737" i="61"/>
  <c r="Z524" i="61"/>
  <c r="Z88" i="61"/>
  <c r="Z363" i="61"/>
  <c r="Z975" i="61"/>
  <c r="Z71" i="61"/>
  <c r="Z364" i="61"/>
  <c r="Z958" i="61"/>
  <c r="Z464" i="61"/>
  <c r="Z623" i="61"/>
  <c r="Z168" i="61"/>
  <c r="Z703" i="61"/>
  <c r="Z404" i="61"/>
  <c r="Z518" i="61"/>
  <c r="Z544" i="61"/>
  <c r="Z526" i="61"/>
  <c r="Z500" i="61"/>
  <c r="Z19" i="61"/>
  <c r="Z777" i="61"/>
  <c r="Z883" i="61"/>
  <c r="Z462" i="61"/>
  <c r="Z985" i="61"/>
  <c r="Z519" i="61"/>
  <c r="Z304" i="61"/>
  <c r="Z482" i="61"/>
  <c r="Z225" i="61"/>
  <c r="Z805" i="61"/>
  <c r="Z120" i="61"/>
  <c r="Z654" i="61"/>
  <c r="Z331" i="61"/>
  <c r="Z594" i="61"/>
  <c r="Z897" i="61"/>
  <c r="Z261" i="61"/>
  <c r="Z382" i="61"/>
  <c r="Z973" i="61"/>
  <c r="Z527" i="61"/>
  <c r="Z102" i="61"/>
  <c r="Z402" i="61"/>
  <c r="Z235" i="61"/>
  <c r="Z869" i="61"/>
  <c r="Z215" i="61"/>
  <c r="Z508" i="61"/>
  <c r="Z802" i="61"/>
  <c r="Z89" i="61"/>
  <c r="Z45" i="61"/>
  <c r="Z521" i="61"/>
  <c r="Z539" i="61"/>
  <c r="Z350" i="61"/>
  <c r="Z68" i="61"/>
  <c r="Z361" i="61"/>
  <c r="Z867" i="61"/>
  <c r="Z281" i="61"/>
  <c r="Z237" i="61"/>
  <c r="Z620" i="61"/>
  <c r="Z682" i="61"/>
  <c r="Z112" i="61"/>
  <c r="Z870" i="61"/>
  <c r="Z632" i="61"/>
  <c r="Z541" i="61"/>
  <c r="Z255" i="61"/>
  <c r="Z317" i="61"/>
  <c r="Z222" i="61"/>
  <c r="Z725" i="61"/>
  <c r="Z543" i="61"/>
  <c r="Z85" i="61"/>
  <c r="Z588" i="61"/>
  <c r="Z5" i="61"/>
  <c r="Z722" i="61"/>
  <c r="Z169" i="61"/>
  <c r="Z967" i="61"/>
  <c r="Z165" i="61"/>
  <c r="Z931" i="61"/>
  <c r="Z265" i="61"/>
  <c r="Z764" i="61"/>
  <c r="Z816" i="61"/>
  <c r="Z884" i="61"/>
  <c r="Z824" i="61"/>
  <c r="Z800" i="61"/>
  <c r="Z900" i="61"/>
  <c r="Z912" i="61"/>
  <c r="Z992" i="61"/>
  <c r="Z796" i="61"/>
  <c r="Z792" i="61"/>
  <c r="Z964" i="61"/>
  <c r="Z924" i="61"/>
  <c r="Z976" i="61"/>
  <c r="Z948" i="61"/>
  <c r="Z788" i="61"/>
  <c r="Z832" i="61"/>
  <c r="Z876" i="61"/>
  <c r="Z848" i="61"/>
  <c r="Z936" i="61"/>
  <c r="Z812" i="61"/>
  <c r="Z748" i="61"/>
  <c r="Z856" i="61"/>
  <c r="Z932" i="61"/>
  <c r="Z944" i="61"/>
  <c r="Z756" i="61"/>
  <c r="Z728" i="61"/>
  <c r="Z952" i="61"/>
  <c r="Z828" i="61"/>
  <c r="Z928" i="61"/>
  <c r="Z896" i="61"/>
  <c r="Z940" i="61"/>
  <c r="Z868" i="61"/>
  <c r="Z904" i="61"/>
  <c r="Z956" i="61"/>
  <c r="Z840" i="61"/>
  <c r="Z804" i="61"/>
  <c r="Z836" i="61"/>
  <c r="Z776" i="61"/>
  <c r="Z960" i="61"/>
  <c r="Z820" i="61"/>
  <c r="Z852" i="61"/>
  <c r="Z872" i="61"/>
  <c r="Z916" i="61"/>
  <c r="Z752" i="61"/>
  <c r="Z732" i="61"/>
  <c r="Z988" i="61"/>
  <c r="Z892" i="61"/>
  <c r="Z780" i="61"/>
  <c r="Z880" i="61"/>
  <c r="Z980" i="61"/>
  <c r="Z920" i="61"/>
  <c r="Z744" i="61"/>
  <c r="Z736" i="61"/>
  <c r="Z864" i="61"/>
  <c r="Z908" i="61"/>
  <c r="Z972" i="61"/>
  <c r="Z772" i="61"/>
  <c r="Z808" i="61"/>
  <c r="Z968" i="61"/>
  <c r="Z760" i="61"/>
  <c r="Z784" i="61"/>
  <c r="Z768" i="61"/>
  <c r="Z984" i="61"/>
  <c r="Z860" i="61"/>
  <c r="Z844" i="61"/>
  <c r="Z740" i="61"/>
  <c r="Z888" i="61"/>
  <c r="W3" i="61"/>
  <c r="W6" i="61"/>
  <c r="W5" i="61"/>
  <c r="W4" i="61"/>
  <c r="W7" i="61"/>
  <c r="W8" i="61"/>
  <c r="W12" i="61"/>
  <c r="W10" i="61"/>
  <c r="W11" i="61"/>
  <c r="T725" i="61"/>
  <c r="T13" i="61"/>
  <c r="T501" i="61"/>
  <c r="T891" i="61"/>
  <c r="T275" i="61"/>
  <c r="T32" i="61"/>
  <c r="T482" i="61"/>
  <c r="T68" i="61"/>
  <c r="T438" i="61"/>
  <c r="T810" i="61"/>
  <c r="T179" i="61"/>
  <c r="T8" i="61"/>
  <c r="T825" i="61"/>
  <c r="T183" i="61"/>
  <c r="T909" i="61"/>
  <c r="T22" i="61"/>
  <c r="T745" i="61"/>
  <c r="T203" i="61"/>
  <c r="T318" i="61"/>
  <c r="T352" i="61"/>
  <c r="T95" i="61"/>
  <c r="T172" i="61"/>
  <c r="T193" i="61"/>
  <c r="T177" i="61"/>
  <c r="T866" i="61"/>
  <c r="T154" i="61"/>
  <c r="T899" i="61"/>
  <c r="T413" i="61"/>
  <c r="T508" i="61"/>
  <c r="T164" i="61"/>
  <c r="T568" i="61"/>
  <c r="T373" i="61"/>
  <c r="T886" i="61"/>
  <c r="T441" i="61"/>
  <c r="T672" i="61"/>
  <c r="T525" i="61"/>
  <c r="T964" i="61"/>
  <c r="T294" i="61"/>
  <c r="T632" i="61"/>
  <c r="T447" i="61"/>
  <c r="T246" i="61"/>
  <c r="T627" i="61"/>
  <c r="T216" i="61"/>
  <c r="T249" i="61"/>
  <c r="T629" i="61"/>
  <c r="T227" i="61"/>
  <c r="T853" i="61"/>
  <c r="T744" i="61"/>
  <c r="T301" i="61"/>
  <c r="T370" i="61"/>
  <c r="T978" i="61"/>
  <c r="T262" i="61"/>
  <c r="T684" i="61"/>
  <c r="T93" i="61"/>
  <c r="T927" i="61"/>
  <c r="T197" i="61"/>
  <c r="T979" i="61"/>
  <c r="T309" i="61"/>
  <c r="T562" i="61"/>
  <c r="T90" i="61"/>
  <c r="T939" i="61"/>
  <c r="T634" i="61"/>
  <c r="T875" i="61"/>
  <c r="T969" i="61"/>
  <c r="T50" i="61"/>
  <c r="T783" i="61"/>
  <c r="T743" i="61"/>
  <c r="T777" i="61"/>
  <c r="T7" i="61"/>
  <c r="T733" i="61"/>
  <c r="T903" i="61"/>
  <c r="T449" i="61"/>
  <c r="T94" i="61"/>
  <c r="T661" i="61"/>
  <c r="T906" i="61"/>
  <c r="T784" i="61"/>
  <c r="T110" i="61"/>
  <c r="T470" i="61"/>
  <c r="T204" i="61"/>
  <c r="T857" i="61"/>
  <c r="T279" i="61"/>
  <c r="T363" i="61"/>
  <c r="T270" i="61"/>
  <c r="T666" i="61"/>
  <c r="T705" i="61"/>
  <c r="T513" i="61"/>
  <c r="T137" i="61"/>
  <c r="T789" i="61"/>
  <c r="T41" i="61"/>
  <c r="T178" i="61"/>
  <c r="T703" i="61"/>
  <c r="T913" i="61"/>
  <c r="T588" i="61"/>
  <c r="T721" i="61"/>
  <c r="T712" i="61"/>
  <c r="T290" i="61"/>
  <c r="T171" i="61"/>
  <c r="T148" i="61"/>
  <c r="T142" i="61"/>
  <c r="T953" i="61"/>
  <c r="T314" i="61"/>
  <c r="T371" i="61"/>
  <c r="T686" i="61"/>
  <c r="T496" i="61"/>
  <c r="T692" i="61"/>
  <c r="T787" i="61"/>
  <c r="T256" i="61"/>
  <c r="T625" i="61"/>
  <c r="T878" i="61"/>
  <c r="T863" i="61"/>
  <c r="T261" i="61"/>
  <c r="T239" i="61"/>
  <c r="T343" i="61"/>
  <c r="T560" i="61"/>
  <c r="T867" i="61"/>
  <c r="T571" i="61"/>
  <c r="T223" i="61"/>
  <c r="T354" i="61"/>
  <c r="T410" i="61"/>
  <c r="T759" i="61"/>
  <c r="T112" i="61"/>
  <c r="T484" i="61"/>
  <c r="T224" i="61"/>
  <c r="T498" i="61"/>
  <c r="T344" i="61"/>
  <c r="T826" i="61"/>
  <c r="T320" i="61"/>
  <c r="T940" i="61"/>
  <c r="T289" i="61"/>
  <c r="T104" i="61"/>
  <c r="T199" i="61"/>
  <c r="T925" i="61"/>
  <c r="T519" i="61"/>
  <c r="T833" i="61"/>
  <c r="T644" i="61"/>
  <c r="T924" i="61"/>
  <c r="T198" i="61"/>
  <c r="T900" i="61"/>
  <c r="T337" i="61"/>
  <c r="T800" i="61"/>
  <c r="T461" i="61"/>
  <c r="T882" i="61"/>
  <c r="T124" i="61"/>
  <c r="T760" i="61"/>
  <c r="T791" i="61"/>
  <c r="T511" i="61"/>
  <c r="T851" i="61"/>
  <c r="T894" i="61"/>
  <c r="T322" i="61"/>
  <c r="T358" i="61"/>
  <c r="T585" i="61"/>
  <c r="T640" i="61"/>
  <c r="T541" i="61"/>
  <c r="T715" i="61"/>
  <c r="T208" i="61"/>
  <c r="T219" i="61"/>
  <c r="T388" i="61"/>
  <c r="T824" i="61"/>
  <c r="T623" i="61"/>
  <c r="T431" i="61"/>
  <c r="T912" i="61"/>
  <c r="T870" i="61"/>
  <c r="T538" i="61"/>
  <c r="T641" i="61"/>
  <c r="T222" i="61"/>
  <c r="T306" i="61"/>
  <c r="T243" i="61"/>
  <c r="T869" i="61"/>
  <c r="T27" i="61"/>
  <c r="T443" i="61"/>
  <c r="T165" i="61"/>
  <c r="T234" i="61"/>
  <c r="T918" i="61"/>
  <c r="T960" i="61"/>
  <c r="T78" i="61"/>
  <c r="T291" i="61"/>
  <c r="T780" i="61"/>
  <c r="T974" i="61"/>
  <c r="T854" i="61"/>
  <c r="T696" i="61"/>
  <c r="T495" i="61"/>
  <c r="T803" i="61"/>
  <c r="T694" i="61"/>
  <c r="T957" i="61"/>
  <c r="T581" i="61"/>
  <c r="T975" i="61"/>
  <c r="T425" i="61"/>
  <c r="T44" i="61"/>
  <c r="T220" i="61"/>
  <c r="T754" i="61"/>
  <c r="T345" i="61"/>
  <c r="T593" i="61"/>
  <c r="T456" i="61"/>
  <c r="T812" i="61"/>
  <c r="T117" i="61"/>
  <c r="T546" i="61"/>
  <c r="T153" i="61"/>
  <c r="T502" i="61"/>
  <c r="T10" i="61"/>
  <c r="T646" i="61"/>
  <c r="T624" i="61"/>
  <c r="T382" i="61"/>
  <c r="T297" i="61"/>
  <c r="T630" i="61"/>
  <c r="T633" i="61"/>
  <c r="T98" i="61"/>
  <c r="T717" i="61"/>
  <c r="T983" i="61"/>
  <c r="T553" i="61"/>
  <c r="T11" i="61"/>
  <c r="T648" i="61"/>
  <c r="T592" i="61"/>
  <c r="T827" i="61"/>
  <c r="T693" i="61"/>
  <c r="T342" i="61"/>
  <c r="T615" i="61"/>
  <c r="T841" i="61"/>
  <c r="T71" i="61"/>
  <c r="T797" i="61"/>
  <c r="T577" i="61"/>
  <c r="T855" i="61"/>
  <c r="T631" i="61"/>
  <c r="T474" i="61"/>
  <c r="T698" i="61"/>
  <c r="T499" i="61"/>
  <c r="T503" i="61"/>
  <c r="T758" i="61"/>
  <c r="T910" i="61"/>
  <c r="T955" i="61"/>
  <c r="T619" i="61"/>
  <c r="T125" i="61"/>
  <c r="T986" i="61"/>
  <c r="T606" i="61"/>
  <c r="T36" i="61"/>
  <c r="T752" i="61"/>
  <c r="T699" i="61"/>
  <c r="T100" i="61"/>
  <c r="T340" i="61"/>
  <c r="T305" i="61"/>
  <c r="T120" i="61"/>
  <c r="T872" i="61"/>
  <c r="T799" i="61"/>
  <c r="T80" i="61"/>
  <c r="T602" i="61"/>
  <c r="T976" i="61"/>
  <c r="T881" i="61"/>
  <c r="T163" i="61"/>
  <c r="T231" i="61"/>
  <c r="T72" i="61"/>
  <c r="T711" i="61"/>
  <c r="T665" i="61"/>
  <c r="T87" i="61"/>
  <c r="T205" i="61"/>
  <c r="T911" i="61"/>
  <c r="T966" i="61"/>
  <c r="T907" i="61"/>
  <c r="T457" i="61"/>
  <c r="T896" i="61"/>
  <c r="T408" i="61"/>
  <c r="T428" i="61"/>
  <c r="T292" i="61"/>
  <c r="T91" i="61"/>
  <c r="T131" i="61"/>
  <c r="T650" i="61"/>
  <c r="T411" i="61"/>
  <c r="T360" i="61"/>
  <c r="T968" i="61"/>
  <c r="T53" i="61"/>
  <c r="T317" i="61"/>
  <c r="T174" i="61"/>
  <c r="T582" i="61"/>
  <c r="T561" i="61"/>
  <c r="T922" i="61"/>
  <c r="T757" i="61"/>
  <c r="T985" i="61"/>
  <c r="T84" i="61"/>
  <c r="T786" i="61"/>
  <c r="T218" i="61"/>
  <c r="T676" i="61"/>
  <c r="T160" i="61"/>
  <c r="T706" i="61"/>
  <c r="T688" i="61"/>
  <c r="T856" i="61"/>
  <c r="T989" i="61"/>
  <c r="T846" i="61"/>
  <c r="T689" i="61"/>
  <c r="T916" i="61"/>
  <c r="T210" i="61"/>
  <c r="T313" i="61"/>
  <c r="T398" i="61"/>
  <c r="T835" i="61"/>
  <c r="T365" i="61"/>
  <c r="T738" i="61"/>
  <c r="T392" i="61"/>
  <c r="T612" i="61"/>
  <c r="T475" i="61"/>
  <c r="T934" i="61"/>
  <c r="T419" i="61"/>
  <c r="T387" i="61"/>
  <c r="T132" i="61"/>
  <c r="T486" i="61"/>
  <c r="T551" i="61"/>
  <c r="T189" i="61"/>
  <c r="T158" i="61"/>
  <c r="T660" i="61"/>
  <c r="T849" i="61"/>
  <c r="T332" i="61"/>
  <c r="T614" i="61"/>
  <c r="T576" i="61"/>
  <c r="T573" i="61"/>
  <c r="T130" i="61"/>
  <c r="T81" i="61"/>
  <c r="T864" i="61"/>
  <c r="T493" i="61"/>
  <c r="T895" i="61"/>
  <c r="T401" i="61"/>
  <c r="T129" i="61"/>
  <c r="T126" i="61"/>
  <c r="T510" i="61"/>
  <c r="T697" i="61"/>
  <c r="T55" i="61"/>
  <c r="T781" i="61"/>
  <c r="T779" i="61"/>
  <c r="T617" i="61"/>
  <c r="T75" i="61"/>
  <c r="T67" i="61"/>
  <c r="T63" i="61"/>
  <c r="T265" i="61"/>
  <c r="T815" i="61"/>
  <c r="T102" i="61"/>
  <c r="T20" i="61"/>
  <c r="T430" i="61"/>
  <c r="T604" i="61"/>
  <c r="T30" i="61"/>
  <c r="T469" i="61"/>
  <c r="T497" i="61"/>
  <c r="T173" i="61"/>
  <c r="T159" i="61"/>
  <c r="T139" i="61"/>
  <c r="T206" i="61"/>
  <c r="T59" i="61"/>
  <c r="T34" i="61"/>
  <c r="T362" i="61"/>
  <c r="T926" i="61"/>
  <c r="T407" i="61"/>
  <c r="T127" i="61"/>
  <c r="T506" i="61"/>
  <c r="T491" i="61"/>
  <c r="T565" i="61"/>
  <c r="T731" i="61"/>
  <c r="T368" i="61"/>
  <c r="T259" i="61"/>
  <c r="T384" i="61"/>
  <c r="T180" i="61"/>
  <c r="T367" i="61"/>
  <c r="T500" i="61"/>
  <c r="T76" i="61"/>
  <c r="T808" i="61"/>
  <c r="T471" i="61"/>
  <c r="T635" i="61"/>
  <c r="T823" i="61"/>
  <c r="T680" i="61"/>
  <c r="T549" i="61"/>
  <c r="T232" i="61"/>
  <c r="T46" i="61"/>
  <c r="T420" i="61"/>
  <c r="T679" i="61"/>
  <c r="T18" i="61"/>
  <c r="T887" i="61"/>
  <c r="T529" i="61"/>
  <c r="T39" i="61"/>
  <c r="T765" i="61"/>
  <c r="T214" i="61"/>
  <c r="T473" i="61"/>
  <c r="T480" i="61"/>
  <c r="T685" i="61"/>
  <c r="T350" i="61"/>
  <c r="T609" i="61"/>
  <c r="T221" i="61"/>
  <c r="T695" i="61"/>
  <c r="T254" i="61"/>
  <c r="T722" i="61"/>
  <c r="T133" i="61"/>
  <c r="T936" i="61"/>
  <c r="T74" i="61"/>
  <c r="T642" i="61"/>
  <c r="T938" i="61"/>
  <c r="T958" i="61"/>
  <c r="T923" i="61"/>
  <c r="T656" i="61"/>
  <c r="T967" i="61"/>
  <c r="T946" i="61"/>
  <c r="T346" i="61"/>
  <c r="T930" i="61"/>
  <c r="T240" i="61"/>
  <c r="T643" i="61"/>
  <c r="T134" i="61"/>
  <c r="T943" i="61"/>
  <c r="T334" i="61"/>
  <c r="T621" i="61"/>
  <c r="T816" i="61"/>
  <c r="T920" i="61"/>
  <c r="T563" i="61"/>
  <c r="T478" i="61"/>
  <c r="T847" i="61"/>
  <c r="T880" i="61"/>
  <c r="T639" i="61"/>
  <c r="T414" i="61"/>
  <c r="T99" i="61"/>
  <c r="T597" i="61"/>
  <c r="T406" i="61"/>
  <c r="T520" i="61"/>
  <c r="T522" i="61"/>
  <c r="T991" i="61"/>
  <c r="T465" i="61"/>
  <c r="T723" i="61"/>
  <c r="T235" i="61"/>
  <c r="T101" i="61"/>
  <c r="T842" i="61"/>
  <c r="T727" i="61"/>
  <c r="T43" i="61"/>
  <c r="T645" i="61"/>
  <c r="T954" i="61"/>
  <c r="T638" i="61"/>
  <c r="T747" i="61"/>
  <c r="T667" i="61"/>
  <c r="T766" i="61"/>
  <c r="T764" i="61"/>
  <c r="T170" i="61"/>
  <c r="T594" i="61"/>
  <c r="T376" i="61"/>
  <c r="T796" i="61"/>
  <c r="T329" i="61"/>
  <c r="T514" i="61"/>
  <c r="T476" i="61"/>
  <c r="T287" i="61"/>
  <c r="T295" i="61"/>
  <c r="T242" i="61"/>
  <c r="T583" i="61"/>
  <c r="T729" i="61"/>
  <c r="T151" i="61"/>
  <c r="T29" i="61"/>
  <c r="T56" i="61"/>
  <c r="T442" i="61"/>
  <c r="T106" i="61"/>
  <c r="T830" i="61"/>
  <c r="T19" i="61"/>
  <c r="T868" i="61"/>
  <c r="T38" i="61"/>
  <c r="T707" i="61"/>
  <c r="T397" i="61"/>
  <c r="T898" i="61"/>
  <c r="T175" i="61"/>
  <c r="T472" i="61"/>
  <c r="T436" i="61"/>
  <c r="T543" i="61"/>
  <c r="T296" i="61"/>
  <c r="T448" i="61"/>
  <c r="T637" i="61"/>
  <c r="T843" i="61"/>
  <c r="T252" i="61"/>
  <c r="T450" i="61"/>
  <c r="T884" i="61"/>
  <c r="T774" i="61"/>
  <c r="T70" i="61"/>
  <c r="T792" i="61"/>
  <c r="T607" i="61"/>
  <c r="T767" i="61"/>
  <c r="T369" i="61"/>
  <c r="T580" i="61"/>
  <c r="T149" i="61"/>
  <c r="T963" i="61"/>
  <c r="T897" i="61"/>
  <c r="T356" i="61"/>
  <c r="T616" i="61"/>
  <c r="T671" i="61"/>
  <c r="T77" i="61"/>
  <c r="T65" i="61"/>
  <c r="T385" i="61"/>
  <c r="T700" i="61"/>
  <c r="T750" i="61"/>
  <c r="T945" i="61"/>
  <c r="T613" i="61"/>
  <c r="T107" i="61"/>
  <c r="T386" i="61"/>
  <c r="T535" i="61"/>
  <c r="T140" i="61"/>
  <c r="T35" i="61"/>
  <c r="T811" i="61"/>
  <c r="T944" i="61"/>
  <c r="T528" i="61"/>
  <c r="T226" i="61"/>
  <c r="T990" i="61"/>
  <c r="T405" i="61"/>
  <c r="T831" i="61"/>
  <c r="T935" i="61"/>
  <c r="T228" i="61"/>
  <c r="T505" i="61"/>
  <c r="T544" i="61"/>
  <c r="T589" i="61"/>
  <c r="T740" i="61"/>
  <c r="T424" i="61"/>
  <c r="T14" i="61"/>
  <c r="T751" i="61"/>
  <c r="T587" i="61"/>
  <c r="T6" i="61"/>
  <c r="T802" i="61"/>
  <c r="T69" i="61"/>
  <c r="T280" i="61"/>
  <c r="T349" i="61"/>
  <c r="T836" i="61"/>
  <c r="T335" i="61"/>
  <c r="T379" i="61"/>
  <c r="T51" i="61"/>
  <c r="T805" i="61"/>
  <c r="T889" i="61"/>
  <c r="T247" i="61"/>
  <c r="T114" i="61"/>
  <c r="T933" i="61"/>
  <c r="T809" i="61"/>
  <c r="T267" i="61"/>
  <c r="T277" i="61"/>
  <c r="T272" i="61"/>
  <c r="T426" i="61"/>
  <c r="T105" i="61"/>
  <c r="T558" i="61"/>
  <c r="T364" i="61"/>
  <c r="T415" i="61"/>
  <c r="T327" i="61"/>
  <c r="T328" i="61"/>
  <c r="T33" i="61"/>
  <c r="T403" i="61"/>
  <c r="T416" i="61"/>
  <c r="T66" i="61"/>
  <c r="T299" i="61"/>
  <c r="T421" i="61"/>
  <c r="T417" i="61"/>
  <c r="T763" i="61"/>
  <c r="T822" i="61"/>
  <c r="T739" i="61"/>
  <c r="T196" i="61"/>
  <c r="T534" i="61"/>
  <c r="T308" i="61"/>
  <c r="T921" i="61"/>
  <c r="T4" i="61"/>
  <c r="T663" i="61"/>
  <c r="T526" i="61"/>
  <c r="T439" i="61"/>
  <c r="T871" i="61"/>
  <c r="T713" i="61"/>
  <c r="T351" i="61"/>
  <c r="T669" i="61"/>
  <c r="T981" i="61"/>
  <c r="T188" i="61"/>
  <c r="T9" i="61"/>
  <c r="T437" i="61"/>
  <c r="T837" i="61"/>
  <c r="T257" i="61"/>
  <c r="T282" i="61"/>
  <c r="T771" i="61"/>
  <c r="T381" i="61"/>
  <c r="T626" i="61"/>
  <c r="T176" i="61"/>
  <c r="T691" i="61"/>
  <c r="T806" i="61"/>
  <c r="T539" i="61"/>
  <c r="T190" i="61"/>
  <c r="T662" i="61"/>
  <c r="T488" i="61"/>
  <c r="T620" i="61"/>
  <c r="T209" i="61"/>
  <c r="T451" i="61"/>
  <c r="T92" i="61"/>
  <c r="T932" i="61"/>
  <c r="T303" i="61"/>
  <c r="T248" i="61"/>
  <c r="T950" i="61"/>
  <c r="T494" i="61"/>
  <c r="T890" i="61"/>
  <c r="T300" i="61"/>
  <c r="T58" i="61"/>
  <c r="T575" i="61"/>
  <c r="T432" i="61"/>
  <c r="T293" i="61"/>
  <c r="T251" i="61"/>
  <c r="T192" i="61"/>
  <c r="T128" i="61"/>
  <c r="T670" i="61"/>
  <c r="T323" i="61"/>
  <c r="T972" i="61"/>
  <c r="T271" i="61"/>
  <c r="T462" i="61"/>
  <c r="T527" i="61"/>
  <c r="T169" i="61"/>
  <c r="T162" i="61"/>
  <c r="T840" i="61"/>
  <c r="T848" i="61"/>
  <c r="T463" i="61"/>
  <c r="T40" i="61"/>
  <c r="T574" i="61"/>
  <c r="T433" i="61"/>
  <c r="T885" i="61"/>
  <c r="T339" i="61"/>
  <c r="T678" i="61"/>
  <c r="T15" i="61"/>
  <c r="T375" i="61"/>
  <c r="T929" i="61"/>
  <c r="T973" i="61"/>
  <c r="T908" i="61"/>
  <c r="T741" i="61"/>
  <c r="T182" i="61"/>
  <c r="T726" i="61"/>
  <c r="T892" i="61"/>
  <c r="T965" i="61"/>
  <c r="T649" i="61"/>
  <c r="T512" i="61"/>
  <c r="T605" i="61"/>
  <c r="T459" i="61"/>
  <c r="T453" i="61"/>
  <c r="T572" i="61"/>
  <c r="T166" i="61"/>
  <c r="T928" i="61"/>
  <c r="T378" i="61"/>
  <c r="T818" i="61"/>
  <c r="T409" i="61"/>
  <c r="T888" i="61"/>
  <c r="T390" i="61"/>
  <c r="T687" i="61"/>
  <c r="T654" i="61"/>
  <c r="T21" i="61"/>
  <c r="T790" i="61"/>
  <c r="T286" i="61"/>
  <c r="T274" i="61"/>
  <c r="T263" i="61"/>
  <c r="T157" i="61"/>
  <c r="T366" i="61"/>
  <c r="T82" i="61"/>
  <c r="T931" i="61"/>
  <c r="T596" i="61"/>
  <c r="T542" i="61"/>
  <c r="T591" i="61"/>
  <c r="T26" i="61"/>
  <c r="T748" i="61"/>
  <c r="T138" i="61"/>
  <c r="T434" i="61"/>
  <c r="T260" i="61"/>
  <c r="T732" i="61"/>
  <c r="T817" i="61"/>
  <c r="T756" i="61"/>
  <c r="T559" i="61"/>
  <c r="T253" i="61"/>
  <c r="T675" i="61"/>
  <c r="T655" i="61"/>
  <c r="T552" i="61"/>
  <c r="T485" i="61"/>
  <c r="T819" i="61"/>
  <c r="T636" i="61"/>
  <c r="T937" i="61"/>
  <c r="T185" i="61"/>
  <c r="T919" i="61"/>
  <c r="T941" i="61"/>
  <c r="T116" i="61"/>
  <c r="T860" i="61"/>
  <c r="T753" i="61"/>
  <c r="T652" i="61"/>
  <c r="T464" i="61"/>
  <c r="T668" i="61"/>
  <c r="T554" i="61"/>
  <c r="T736" i="61"/>
  <c r="T883" i="61"/>
  <c r="T57" i="61"/>
  <c r="T657" i="61"/>
  <c r="T970" i="61"/>
  <c r="T284" i="61"/>
  <c r="T545" i="61"/>
  <c r="T702" i="61"/>
  <c r="T708" i="61"/>
  <c r="T394" i="61"/>
  <c r="T45" i="61"/>
  <c r="T487" i="61"/>
  <c r="T905" i="61"/>
  <c r="T135" i="61"/>
  <c r="T861" i="61"/>
  <c r="T567" i="61"/>
  <c r="T42" i="61"/>
  <c r="T714" i="61"/>
  <c r="T569" i="61"/>
  <c r="T412" i="61"/>
  <c r="T653" i="61"/>
  <c r="T492" i="61"/>
  <c r="T489" i="61"/>
  <c r="T333" i="61"/>
  <c r="T236" i="61"/>
  <c r="T278" i="61"/>
  <c r="T230" i="61"/>
  <c r="T982" i="61"/>
  <c r="T548" i="61"/>
  <c r="T202" i="61"/>
  <c r="T610" i="61"/>
  <c r="T238" i="61"/>
  <c r="T566" i="61"/>
  <c r="T96" i="61"/>
  <c r="T730" i="61"/>
  <c r="T312" i="61"/>
  <c r="T150" i="61"/>
  <c r="T709" i="61"/>
  <c r="T683" i="61"/>
  <c r="T361" i="61"/>
  <c r="T515" i="61"/>
  <c r="T49" i="61"/>
  <c r="T690" i="61"/>
  <c r="T775" i="61"/>
  <c r="T273" i="61"/>
  <c r="T399" i="61"/>
  <c r="T85" i="61"/>
  <c r="T879" i="61"/>
  <c r="T207" i="61"/>
  <c r="T584" i="61"/>
  <c r="T201" i="61"/>
  <c r="T16" i="61"/>
  <c r="T874" i="61"/>
  <c r="T97" i="61"/>
  <c r="T468" i="61"/>
  <c r="T956" i="61"/>
  <c r="T673" i="61"/>
  <c r="T628" i="61"/>
  <c r="T517" i="61"/>
  <c r="T942" i="61"/>
  <c r="T212" i="61"/>
  <c r="T143" i="61"/>
  <c r="T338" i="61"/>
  <c r="T599" i="61"/>
  <c r="T54" i="61"/>
  <c r="T195" i="61"/>
  <c r="T454" i="61"/>
  <c r="T901" i="61"/>
  <c r="T776" i="61"/>
  <c r="T211" i="61"/>
  <c r="T540" i="61"/>
  <c r="T213" i="61"/>
  <c r="T798" i="61"/>
  <c r="T850" i="61"/>
  <c r="T304" i="61"/>
  <c r="T418" i="61"/>
  <c r="T245" i="61"/>
  <c r="T770" i="61"/>
  <c r="T734" i="61"/>
  <c r="T952" i="61"/>
  <c r="T281" i="61"/>
  <c r="T598" i="61"/>
  <c r="T380" i="61"/>
  <c r="T146" i="61"/>
  <c r="T89" i="61"/>
  <c r="T518" i="61"/>
  <c r="T145" i="61"/>
  <c r="T838" i="61"/>
  <c r="T904" i="61"/>
  <c r="T524" i="61"/>
  <c r="T659" i="61"/>
  <c r="T651" i="61"/>
  <c r="T521" i="61"/>
  <c r="T768" i="61"/>
  <c r="T477" i="61"/>
  <c r="T951" i="61"/>
  <c r="T37" i="61"/>
  <c r="T155" i="61"/>
  <c r="T62" i="61"/>
  <c r="T595" i="61"/>
  <c r="T144" i="61"/>
  <c r="T167" i="61"/>
  <c r="T893" i="61"/>
  <c r="T839" i="61"/>
  <c r="T601" i="61"/>
  <c r="T23" i="61"/>
  <c r="T813" i="61"/>
  <c r="T611" i="61"/>
  <c r="T865" i="61"/>
  <c r="T24" i="61"/>
  <c r="T122" i="61"/>
  <c r="T187" i="61"/>
  <c r="T233" i="61"/>
  <c r="T959" i="61"/>
  <c r="T307" i="61"/>
  <c r="T347" i="61"/>
  <c r="T761" i="61"/>
  <c r="T119" i="61"/>
  <c r="T845" i="61"/>
  <c r="T523" i="61"/>
  <c r="T681" i="61"/>
  <c r="T716" i="61"/>
  <c r="T782" i="61"/>
  <c r="T704" i="61"/>
  <c r="T509" i="61"/>
  <c r="T556" i="61"/>
  <c r="T393" i="61"/>
  <c r="T962" i="61"/>
  <c r="T429" i="61"/>
  <c r="T86" i="61"/>
  <c r="T250" i="61"/>
  <c r="T258" i="61"/>
  <c r="T531" i="61"/>
  <c r="T113" i="61"/>
  <c r="T466" i="61"/>
  <c r="T217" i="61"/>
  <c r="T550" i="61"/>
  <c r="T422" i="61"/>
  <c r="T355" i="61"/>
  <c r="T244" i="61"/>
  <c r="T237" i="61"/>
  <c r="T458" i="61"/>
  <c r="T229" i="61"/>
  <c r="T152" i="61"/>
  <c r="T109" i="61"/>
  <c r="T288" i="61"/>
  <c r="T674" i="61"/>
  <c r="T324" i="61"/>
  <c r="T876" i="61"/>
  <c r="T181" i="61"/>
  <c r="T814" i="61"/>
  <c r="T79" i="61"/>
  <c r="T647" i="61"/>
  <c r="T984" i="61"/>
  <c r="T971" i="61"/>
  <c r="T586" i="61"/>
  <c r="T862" i="61"/>
  <c r="T194" i="61"/>
  <c r="T728" i="61"/>
  <c r="T795" i="61"/>
  <c r="T400" i="61"/>
  <c r="T241" i="61"/>
  <c r="T444" i="61"/>
  <c r="T83" i="61"/>
  <c r="T319" i="61"/>
  <c r="T353" i="61"/>
  <c r="T794" i="61"/>
  <c r="T742" i="61"/>
  <c r="T276" i="61"/>
  <c r="T391" i="61"/>
  <c r="T111" i="61"/>
  <c r="T536" i="61"/>
  <c r="T828" i="61"/>
  <c r="T773" i="61"/>
  <c r="T859" i="61"/>
  <c r="T73" i="61"/>
  <c r="T123" i="61"/>
  <c r="T427" i="61"/>
  <c r="T136" i="61"/>
  <c r="T88" i="61"/>
  <c r="T603" i="61"/>
  <c r="T720" i="61"/>
  <c r="T961" i="61"/>
  <c r="T266" i="61"/>
  <c r="T988" i="61"/>
  <c r="T283" i="61"/>
  <c r="T483" i="61"/>
  <c r="T948" i="61"/>
  <c r="T832" i="61"/>
  <c r="T445" i="61"/>
  <c r="T804" i="61"/>
  <c r="T325" i="61"/>
  <c r="T374" i="61"/>
  <c r="T590" i="61"/>
  <c r="T268" i="61"/>
  <c r="T404" i="61"/>
  <c r="T658" i="61"/>
  <c r="T48" i="61"/>
  <c r="T532" i="61"/>
  <c r="T396" i="61"/>
  <c r="T578" i="61"/>
  <c r="T547" i="61"/>
  <c r="T321" i="61"/>
  <c r="T788" i="61"/>
  <c r="T3" i="61"/>
  <c r="T60" i="61"/>
  <c r="T103" i="61"/>
  <c r="T829" i="61"/>
  <c r="T949" i="61"/>
  <c r="T537" i="61"/>
  <c r="T269" i="61"/>
  <c r="T749" i="61"/>
  <c r="T844" i="61"/>
  <c r="T737" i="61"/>
  <c r="T479" i="61"/>
  <c r="T423" i="61"/>
  <c r="T677" i="61"/>
  <c r="T61" i="61"/>
  <c r="T311" i="61"/>
  <c r="T285" i="61"/>
  <c r="T807" i="61"/>
  <c r="T873" i="61"/>
  <c r="T331" i="61"/>
  <c r="T326" i="61"/>
  <c r="T316" i="61"/>
  <c r="T481" i="61"/>
  <c r="T452" i="61"/>
  <c r="T801" i="61"/>
  <c r="T564" i="61"/>
  <c r="T852" i="61"/>
  <c r="T348" i="61"/>
  <c r="T516" i="61"/>
  <c r="T755" i="61"/>
  <c r="T762" i="61"/>
  <c r="T778" i="61"/>
  <c r="T225" i="61"/>
  <c r="T121" i="61"/>
  <c r="T17" i="61"/>
  <c r="T315" i="61"/>
  <c r="T156" i="61"/>
  <c r="T372" i="61"/>
  <c r="T915" i="61"/>
  <c r="T64" i="61"/>
  <c r="T28" i="61"/>
  <c r="T557" i="61"/>
  <c r="T977" i="61"/>
  <c r="T622" i="61"/>
  <c r="T877" i="61"/>
  <c r="T12" i="61"/>
  <c r="T902" i="61"/>
  <c r="T618" i="61"/>
  <c r="T357" i="61"/>
  <c r="T719" i="61"/>
  <c r="T785" i="61"/>
  <c r="T184" i="61"/>
  <c r="T701" i="61"/>
  <c r="T579" i="61"/>
  <c r="T402" i="61"/>
  <c r="T608" i="61"/>
  <c r="T389" i="61"/>
  <c r="T772" i="61"/>
  <c r="T147" i="61"/>
  <c r="T914" i="61"/>
  <c r="T377" i="61"/>
  <c r="T947" i="61"/>
  <c r="T330" i="61"/>
  <c r="T834" i="61"/>
  <c r="T47" i="61"/>
  <c r="T600" i="61"/>
  <c r="T310" i="61"/>
  <c r="T820" i="61"/>
  <c r="T31" i="61"/>
  <c r="T25" i="61"/>
  <c r="T395" i="61"/>
  <c r="T455" i="61"/>
  <c r="T793" i="61"/>
  <c r="T215" i="61"/>
  <c r="T200" i="61"/>
  <c r="T255" i="61"/>
  <c r="T570" i="61"/>
  <c r="T980" i="61"/>
  <c r="T987" i="61"/>
  <c r="T341" i="61"/>
  <c r="T530" i="61"/>
  <c r="T302" i="61"/>
  <c r="T992" i="61"/>
  <c r="T118" i="61"/>
  <c r="T435" i="61"/>
  <c r="T917" i="61"/>
  <c r="T383" i="61"/>
  <c r="T168" i="61"/>
  <c r="T264" i="61"/>
  <c r="T769" i="61"/>
  <c r="T115" i="61"/>
  <c r="T298" i="61"/>
  <c r="T710" i="61"/>
  <c r="T440" i="61"/>
  <c r="T490" i="61"/>
  <c r="T336" i="61"/>
  <c r="T746" i="61"/>
  <c r="T467" i="61"/>
  <c r="T504" i="61"/>
  <c r="T186" i="61"/>
  <c r="T718" i="61"/>
  <c r="T446" i="61"/>
  <c r="T682" i="61"/>
  <c r="T821" i="61"/>
  <c r="T161" i="61"/>
  <c r="T555" i="61"/>
  <c r="T191" i="61"/>
  <c r="T141" i="61"/>
  <c r="T507" i="61"/>
  <c r="T460" i="61"/>
  <c r="T724" i="61"/>
  <c r="T52" i="61"/>
  <c r="T858" i="61"/>
  <c r="T108" i="61"/>
  <c r="T664" i="61"/>
  <c r="T735" i="61"/>
  <c r="T533" i="61"/>
  <c r="T359" i="61"/>
  <c r="W57" i="61"/>
  <c r="W633" i="61"/>
  <c r="W86" i="61"/>
  <c r="W412" i="61"/>
  <c r="W443" i="61"/>
  <c r="W886" i="61"/>
  <c r="W190" i="61"/>
  <c r="W943" i="61"/>
  <c r="W24" i="61"/>
  <c r="W528" i="61"/>
  <c r="W613" i="61"/>
  <c r="W292" i="61"/>
  <c r="W313" i="61"/>
  <c r="W550" i="61"/>
  <c r="W423" i="61"/>
  <c r="W454" i="61"/>
  <c r="W666" i="61"/>
  <c r="W603" i="61"/>
  <c r="W506" i="61"/>
  <c r="W849" i="61"/>
  <c r="W735" i="61"/>
  <c r="W889" i="61"/>
  <c r="W962" i="61"/>
  <c r="W474" i="61"/>
  <c r="W517" i="61"/>
  <c r="W290" i="61"/>
  <c r="W70" i="61"/>
  <c r="W863" i="61"/>
  <c r="W602" i="61"/>
  <c r="W42" i="61"/>
  <c r="W253" i="61"/>
  <c r="W478" i="61"/>
  <c r="W643" i="61"/>
  <c r="W78" i="61"/>
  <c r="W905" i="61"/>
  <c r="W395" i="61"/>
  <c r="W180" i="61"/>
  <c r="W334" i="61"/>
  <c r="W154" i="61"/>
  <c r="W299" i="61"/>
  <c r="W882" i="61"/>
  <c r="W805" i="61"/>
  <c r="W774" i="61"/>
  <c r="W365" i="61"/>
  <c r="W305" i="61"/>
  <c r="W192" i="61"/>
  <c r="W939" i="61"/>
  <c r="W897" i="61"/>
  <c r="W40" i="61"/>
  <c r="W336" i="61"/>
  <c r="W352" i="61"/>
  <c r="W45" i="61"/>
  <c r="W544" i="61"/>
  <c r="W567" i="61"/>
  <c r="W390" i="61"/>
  <c r="W26" i="61"/>
  <c r="W623" i="61"/>
  <c r="W785" i="61"/>
  <c r="W481" i="61"/>
  <c r="W569" i="61"/>
  <c r="W373" i="61"/>
  <c r="W432" i="61"/>
  <c r="W818" i="61"/>
  <c r="W822" i="61"/>
  <c r="W642" i="61"/>
  <c r="W823" i="61"/>
  <c r="W333" i="61"/>
  <c r="W144" i="61"/>
  <c r="W738" i="61"/>
  <c r="W206" i="61"/>
  <c r="W579" i="61"/>
  <c r="W520" i="61"/>
  <c r="W94" i="61"/>
  <c r="W230" i="61"/>
  <c r="W122" i="61"/>
  <c r="W547" i="61"/>
  <c r="W530" i="61"/>
  <c r="W883" i="61"/>
  <c r="W275" i="61"/>
  <c r="W324" i="61"/>
  <c r="W703" i="61"/>
  <c r="W457" i="61"/>
  <c r="W92" i="61"/>
  <c r="W482" i="61"/>
  <c r="W204" i="61"/>
  <c r="W476" i="61"/>
  <c r="W727" i="61"/>
  <c r="W191" i="61"/>
  <c r="W413" i="61"/>
  <c r="W507" i="61"/>
  <c r="W371" i="61"/>
  <c r="W617" i="61"/>
  <c r="W68" i="61"/>
  <c r="W941" i="61"/>
  <c r="W63" i="61"/>
  <c r="W317" i="61"/>
  <c r="W421" i="61"/>
  <c r="W288" i="61"/>
  <c r="W221" i="61"/>
  <c r="W878" i="61"/>
  <c r="W385" i="61"/>
  <c r="W934" i="61"/>
  <c r="W919" i="61"/>
  <c r="W554" i="61"/>
  <c r="W18" i="61"/>
  <c r="W770" i="61"/>
  <c r="W179" i="61"/>
  <c r="W128" i="61"/>
  <c r="W560" i="61"/>
  <c r="W229" i="61"/>
  <c r="W165" i="61"/>
  <c r="W498" i="61"/>
  <c r="W663" i="61"/>
  <c r="W422" i="61"/>
  <c r="W201" i="61"/>
  <c r="W787" i="61"/>
  <c r="W250" i="61"/>
  <c r="W843" i="61"/>
  <c r="W819" i="61"/>
  <c r="W315" i="61"/>
  <c r="W188" i="61"/>
  <c r="W505" i="61"/>
  <c r="W196" i="61"/>
  <c r="W418" i="61"/>
  <c r="W754" i="61"/>
  <c r="W81" i="61"/>
  <c r="W353" i="61"/>
  <c r="W630" i="61"/>
  <c r="W318" i="61"/>
  <c r="W741" i="61"/>
  <c r="W85" i="61"/>
  <c r="W431" i="61"/>
  <c r="W384" i="61"/>
  <c r="W586" i="61"/>
  <c r="W171" i="61"/>
  <c r="W361" i="61"/>
  <c r="W64" i="61"/>
  <c r="W295" i="61"/>
  <c r="W706" i="61"/>
  <c r="W198" i="61"/>
  <c r="W737" i="61"/>
  <c r="W308" i="61"/>
  <c r="W83" i="61"/>
  <c r="W691" i="61"/>
  <c r="W974" i="61"/>
  <c r="W931" i="61"/>
  <c r="W925" i="61"/>
  <c r="W572" i="61"/>
  <c r="W793" i="61"/>
  <c r="W645" i="61"/>
  <c r="W284" i="61"/>
  <c r="W261" i="61"/>
  <c r="W707" i="61"/>
  <c r="W963" i="61"/>
  <c r="W389" i="61"/>
  <c r="W486" i="61"/>
  <c r="W782" i="61"/>
  <c r="W282" i="61"/>
  <c r="W34" i="61"/>
  <c r="W269" i="61"/>
  <c r="W578" i="61"/>
  <c r="W683" i="61"/>
  <c r="W492" i="61"/>
  <c r="W354" i="61"/>
  <c r="W121" i="61"/>
  <c r="W127" i="61"/>
  <c r="W203" i="61"/>
  <c r="W465" i="61"/>
  <c r="W286" i="61"/>
  <c r="W655" i="61"/>
  <c r="W661" i="61"/>
  <c r="W581" i="61"/>
  <c r="W604" i="61"/>
  <c r="W289" i="61"/>
  <c r="W870" i="61"/>
  <c r="W714" i="61"/>
  <c r="W214" i="61"/>
  <c r="W53" i="61"/>
  <c r="W102" i="61"/>
  <c r="W458" i="61"/>
  <c r="W910" i="61"/>
  <c r="W429" i="61"/>
  <c r="W88" i="61"/>
  <c r="W29" i="61"/>
  <c r="W441" i="61"/>
  <c r="W124" i="61"/>
  <c r="W540" i="61"/>
  <c r="W119" i="61"/>
  <c r="W186" i="61"/>
  <c r="W183" i="61"/>
  <c r="W109" i="61"/>
  <c r="W779" i="61"/>
  <c r="W649" i="61"/>
  <c r="W766" i="61"/>
  <c r="W841" i="61"/>
  <c r="W182" i="61"/>
  <c r="W771" i="61"/>
  <c r="W533" i="61"/>
  <c r="W173" i="61"/>
  <c r="W966" i="61"/>
  <c r="W751" i="61"/>
  <c r="W33" i="61"/>
  <c r="W669" i="61"/>
  <c r="W444" i="61"/>
  <c r="W14" i="61"/>
  <c r="W635" i="61"/>
  <c r="W301" i="61"/>
  <c r="W466" i="61"/>
  <c r="W806" i="61"/>
  <c r="W658" i="61"/>
  <c r="W618" i="61"/>
  <c r="W965" i="61"/>
  <c r="W260" i="61"/>
  <c r="W310" i="61"/>
  <c r="W961" i="61"/>
  <c r="W651" i="61"/>
  <c r="W147" i="61"/>
  <c r="W99" i="61"/>
  <c r="W765" i="61"/>
  <c r="W592" i="61"/>
  <c r="W685" i="61"/>
  <c r="W901" i="61"/>
  <c r="W383" i="61"/>
  <c r="W298" i="61"/>
  <c r="W794" i="61"/>
  <c r="W449" i="61"/>
  <c r="W142" i="61"/>
  <c r="W37" i="61"/>
  <c r="W969" i="61"/>
  <c r="W667" i="61"/>
  <c r="W175" i="61"/>
  <c r="W514" i="61"/>
  <c r="W341" i="61"/>
  <c r="W60" i="61"/>
  <c r="W619" i="61"/>
  <c r="W767" i="61"/>
  <c r="W865" i="61"/>
  <c r="W673" i="61"/>
  <c r="W990" i="61"/>
  <c r="W30" i="61"/>
  <c r="W185" i="61"/>
  <c r="W330" i="61"/>
  <c r="W195" i="61"/>
  <c r="W225" i="61"/>
  <c r="W143" i="61"/>
  <c r="W857" i="61"/>
  <c r="W403" i="61"/>
  <c r="W287" i="61"/>
  <c r="W212" i="61"/>
  <c r="W914" i="61"/>
  <c r="W989" i="61"/>
  <c r="W283" i="61"/>
  <c r="W168" i="61"/>
  <c r="W47" i="61"/>
  <c r="W226" i="61"/>
  <c r="W397" i="61"/>
  <c r="W151" i="61"/>
  <c r="W959" i="61"/>
  <c r="W763" i="61"/>
  <c r="W599" i="61"/>
  <c r="W698" i="61"/>
  <c r="W933" i="61"/>
  <c r="W234" i="61"/>
  <c r="W590" i="61"/>
  <c r="W417" i="61"/>
  <c r="W639" i="61"/>
  <c r="W328" i="61"/>
  <c r="W687" i="61"/>
  <c r="W280" i="61"/>
  <c r="W641" i="61"/>
  <c r="W248" i="61"/>
  <c r="W366" i="61"/>
  <c r="W22" i="61"/>
  <c r="W382" i="61"/>
  <c r="W977" i="61"/>
  <c r="W101" i="61"/>
  <c r="W39" i="61"/>
  <c r="W629" i="61"/>
  <c r="W263" i="61"/>
  <c r="W364" i="61"/>
  <c r="W320" i="61"/>
  <c r="W467" i="61"/>
  <c r="W446" i="61"/>
  <c r="W831" i="61"/>
  <c r="W205" i="61"/>
  <c r="W786" i="61"/>
  <c r="W447" i="61"/>
  <c r="W596" i="61"/>
  <c r="W181" i="61"/>
  <c r="W935" i="61"/>
  <c r="W75" i="61"/>
  <c r="W982" i="61"/>
  <c r="W268" i="61"/>
  <c r="W461" i="61"/>
  <c r="W375" i="61"/>
  <c r="W890" i="61"/>
  <c r="W814" i="61"/>
  <c r="W512" i="61"/>
  <c r="W141" i="61"/>
  <c r="W659" i="61"/>
  <c r="W558" i="61"/>
  <c r="W807" i="61"/>
  <c r="W758" i="61"/>
  <c r="W224" i="61"/>
  <c r="W917" i="61"/>
  <c r="W117" i="61"/>
  <c r="W710" i="61"/>
  <c r="W637" i="61"/>
  <c r="W907" i="61"/>
  <c r="W798" i="61"/>
  <c r="W609" i="61"/>
  <c r="W211" i="61"/>
  <c r="W58" i="61"/>
  <c r="W589" i="61"/>
  <c r="W951" i="61"/>
  <c r="W583" i="61"/>
  <c r="W62" i="61"/>
  <c r="W479" i="61"/>
  <c r="W491" i="61"/>
  <c r="W129" i="61"/>
  <c r="W947" i="61"/>
  <c r="W511" i="61"/>
  <c r="W161" i="61"/>
  <c r="W38" i="61"/>
  <c r="W349" i="61"/>
  <c r="W439" i="61"/>
  <c r="W348" i="61"/>
  <c r="W695" i="61"/>
  <c r="W825" i="61"/>
  <c r="W276" i="61"/>
  <c r="W979" i="61"/>
  <c r="W174" i="61"/>
  <c r="W267" i="61"/>
  <c r="W131" i="61"/>
  <c r="W210" i="61"/>
  <c r="W509" i="61"/>
  <c r="W242" i="61"/>
  <c r="W266" i="61"/>
  <c r="W891" i="61"/>
  <c r="W537" i="61"/>
  <c r="W297" i="61"/>
  <c r="W442" i="61"/>
  <c r="W247" i="61"/>
  <c r="W556" i="61"/>
  <c r="W240" i="61"/>
  <c r="W580" i="61"/>
  <c r="W374" i="61"/>
  <c r="W674" i="61"/>
  <c r="W591" i="61"/>
  <c r="W316" i="61"/>
  <c r="W23" i="61"/>
  <c r="W391" i="61"/>
  <c r="W50" i="61"/>
  <c r="W332" i="61"/>
  <c r="W711" i="61"/>
  <c r="W665" i="61"/>
  <c r="W681" i="61"/>
  <c r="W95" i="61"/>
  <c r="W321" i="61"/>
  <c r="W113" i="61"/>
  <c r="W621" i="61"/>
  <c r="W100" i="61"/>
  <c r="W489" i="61"/>
  <c r="W597" i="61"/>
  <c r="W769" i="61"/>
  <c r="W625" i="61"/>
  <c r="W734" i="61"/>
  <c r="W484" i="61"/>
  <c r="W594" i="61"/>
  <c r="W435" i="61"/>
  <c r="W573" i="61"/>
  <c r="W739" i="61"/>
  <c r="W522" i="61"/>
  <c r="W207" i="61"/>
  <c r="W903" i="61"/>
  <c r="W866" i="61"/>
  <c r="W548" i="61"/>
  <c r="W172" i="61"/>
  <c r="W434" i="61"/>
  <c r="W314" i="61"/>
  <c r="W662" i="61"/>
  <c r="W564" i="61"/>
  <c r="W187" i="61"/>
  <c r="W697" i="61"/>
  <c r="W425" i="61"/>
  <c r="W97" i="61"/>
  <c r="W220" i="61"/>
  <c r="W571" i="61"/>
  <c r="W480" i="61"/>
  <c r="W202" i="61"/>
  <c r="W264" i="61"/>
  <c r="W91" i="61"/>
  <c r="W278" i="61"/>
  <c r="W721" i="61"/>
  <c r="W906" i="61"/>
  <c r="W31" i="61"/>
  <c r="W51" i="61"/>
  <c r="W138" i="61"/>
  <c r="W246" i="61"/>
  <c r="W497" i="61"/>
  <c r="W148" i="61"/>
  <c r="W139" i="61"/>
  <c r="W416" i="61"/>
  <c r="W222" i="61"/>
  <c r="W146" i="61"/>
  <c r="W436" i="61"/>
  <c r="W469" i="61"/>
  <c r="W80" i="61"/>
  <c r="W802" i="61"/>
  <c r="W778" i="61"/>
  <c r="W401" i="61"/>
  <c r="W543" i="61"/>
  <c r="W839" i="61"/>
  <c r="W678" i="61"/>
  <c r="W970" i="61"/>
  <c r="W351" i="61"/>
  <c r="W238" i="61"/>
  <c r="W294" i="61"/>
  <c r="W810" i="61"/>
  <c r="W215" i="61"/>
  <c r="W577" i="61"/>
  <c r="W921" i="61"/>
  <c r="W894" i="61"/>
  <c r="W563" i="61"/>
  <c r="W259" i="61"/>
  <c r="W709" i="61"/>
  <c r="W973" i="61"/>
  <c r="W343" i="61"/>
  <c r="W986" i="61"/>
  <c r="W340" i="61"/>
  <c r="W838" i="61"/>
  <c r="W93" i="61"/>
  <c r="W898" i="61"/>
  <c r="W559" i="61"/>
  <c r="W922" i="61"/>
  <c r="W885" i="61"/>
  <c r="W845" i="61"/>
  <c r="W546" i="61"/>
  <c r="W265" i="61"/>
  <c r="W411" i="61"/>
  <c r="W272" i="61"/>
  <c r="W679" i="61"/>
  <c r="W694" i="61"/>
  <c r="W239" i="61"/>
  <c r="W470" i="61"/>
  <c r="W595" i="61"/>
  <c r="W342" i="61"/>
  <c r="W419" i="61"/>
  <c r="W610" i="61"/>
  <c r="W499" i="61"/>
  <c r="W555" i="61"/>
  <c r="W743" i="61"/>
  <c r="W927" i="61"/>
  <c r="W107" i="61"/>
  <c r="W59" i="61"/>
  <c r="W686" i="61"/>
  <c r="W387" i="61"/>
  <c r="W49" i="61"/>
  <c r="W13" i="61"/>
  <c r="W120" i="61"/>
  <c r="W363" i="61"/>
  <c r="W319" i="61"/>
  <c r="W244" i="61"/>
  <c r="W726" i="61"/>
  <c r="W809" i="61"/>
  <c r="W753" i="61"/>
  <c r="W729" i="61"/>
  <c r="W689" i="61"/>
  <c r="W542" i="61"/>
  <c r="W329" i="61"/>
  <c r="W254" i="61"/>
  <c r="W983" i="61"/>
  <c r="W795" i="61"/>
  <c r="W937" i="61"/>
  <c r="W213" i="61"/>
  <c r="W137" i="61"/>
  <c r="W971" i="61"/>
  <c r="W396" i="61"/>
  <c r="W103" i="61"/>
  <c r="W251" i="61"/>
  <c r="W406" i="61"/>
  <c r="W367" i="61"/>
  <c r="W44" i="61"/>
  <c r="W164" i="61"/>
  <c r="W178" i="61"/>
  <c r="W110" i="61"/>
  <c r="W985" i="61"/>
  <c r="W270" i="61"/>
  <c r="W515" i="61"/>
  <c r="W325" i="61"/>
  <c r="W981" i="61"/>
  <c r="W654" i="61"/>
  <c r="W311" i="61"/>
  <c r="W369" i="61"/>
  <c r="W379" i="61"/>
  <c r="W125" i="61"/>
  <c r="W468" i="61"/>
  <c r="W258" i="61"/>
  <c r="W605" i="61"/>
  <c r="W65" i="61"/>
  <c r="W930" i="61"/>
  <c r="W346" i="61"/>
  <c r="W500" i="61"/>
  <c r="W723" i="61"/>
  <c r="W398" i="61"/>
  <c r="W415" i="61"/>
  <c r="W519" i="61"/>
  <c r="W322" i="61"/>
  <c r="W576" i="61"/>
  <c r="W524" i="61"/>
  <c r="W975" i="61"/>
  <c r="W312" i="61"/>
  <c r="W405" i="61"/>
  <c r="W909" i="61"/>
  <c r="W159" i="61"/>
  <c r="W285" i="61"/>
  <c r="W145" i="61"/>
  <c r="W851" i="61"/>
  <c r="W140" i="61"/>
  <c r="W331" i="61"/>
  <c r="W854" i="61"/>
  <c r="W525" i="61"/>
  <c r="W194" i="61"/>
  <c r="W197" i="61"/>
  <c r="W166" i="61"/>
  <c r="W356" i="61"/>
  <c r="W496" i="61"/>
  <c r="W777" i="61"/>
  <c r="W615" i="61"/>
  <c r="W682" i="61"/>
  <c r="W300" i="61"/>
  <c r="W279" i="61"/>
  <c r="W433" i="61"/>
  <c r="W551" i="61"/>
  <c r="W462" i="61"/>
  <c r="W755" i="61"/>
  <c r="W750" i="61"/>
  <c r="W21" i="61"/>
  <c r="W775" i="61"/>
  <c r="W52" i="61"/>
  <c r="W69" i="61"/>
  <c r="W593" i="61"/>
  <c r="W61" i="61"/>
  <c r="W463" i="61"/>
  <c r="W17" i="61"/>
  <c r="W627" i="61"/>
  <c r="W437" i="61"/>
  <c r="W409" i="61"/>
  <c r="W347" i="61"/>
  <c r="W450" i="61"/>
  <c r="W410" i="61"/>
  <c r="W426" i="61"/>
  <c r="W475" i="61"/>
  <c r="W614" i="61"/>
  <c r="W879" i="61"/>
  <c r="W402" i="61"/>
  <c r="W54" i="61"/>
  <c r="W978" i="61"/>
  <c r="W152" i="61"/>
  <c r="W43" i="61"/>
  <c r="W338" i="61"/>
  <c r="W634" i="61"/>
  <c r="W607" i="61"/>
  <c r="W162" i="61"/>
  <c r="W362" i="61"/>
  <c r="W420" i="61"/>
  <c r="W626" i="61"/>
  <c r="W510" i="61"/>
  <c r="W790" i="61"/>
  <c r="W601" i="61"/>
  <c r="W381" i="61"/>
  <c r="W293" i="61"/>
  <c r="W438" i="61"/>
  <c r="W549" i="61"/>
  <c r="W155" i="61"/>
  <c r="W19" i="61"/>
  <c r="W501" i="61"/>
  <c r="W114" i="61"/>
  <c r="W16" i="61"/>
  <c r="W27" i="61"/>
  <c r="W713" i="61"/>
  <c r="W134" i="61"/>
  <c r="W372" i="61"/>
  <c r="W84" i="61"/>
  <c r="W757" i="61"/>
  <c r="W235" i="61"/>
  <c r="W459" i="61"/>
  <c r="W532" i="61"/>
  <c r="W485" i="61"/>
  <c r="W337" i="61"/>
  <c r="W945" i="61"/>
  <c r="W169" i="61"/>
  <c r="W503" i="61"/>
  <c r="W521" i="61"/>
  <c r="W953" i="61"/>
  <c r="W163" i="61"/>
  <c r="W871" i="61"/>
  <c r="W176" i="61"/>
  <c r="W830" i="61"/>
  <c r="W493" i="61"/>
  <c r="W531" i="61"/>
  <c r="W875" i="61"/>
  <c r="W895" i="61"/>
  <c r="W72" i="61"/>
  <c r="W96" i="61"/>
  <c r="W850" i="61"/>
  <c r="W789" i="61"/>
  <c r="W527" i="61"/>
  <c r="W199" i="61"/>
  <c r="W490" i="61"/>
  <c r="W28" i="61"/>
  <c r="W702" i="61"/>
  <c r="W277" i="61"/>
  <c r="W200" i="61"/>
  <c r="W388" i="61"/>
  <c r="W56" i="61"/>
  <c r="W811" i="61"/>
  <c r="W232" i="61"/>
  <c r="W262" i="61"/>
  <c r="W370" i="61"/>
  <c r="W231" i="61"/>
  <c r="W136" i="61"/>
  <c r="W827" i="61"/>
  <c r="W588" i="61"/>
  <c r="W77" i="61"/>
  <c r="W817" i="61"/>
  <c r="W801" i="61"/>
  <c r="W241" i="61"/>
  <c r="W538" i="61"/>
  <c r="W256" i="61"/>
  <c r="W32" i="61"/>
  <c r="W725" i="61"/>
  <c r="W327" i="61"/>
  <c r="W502" i="61"/>
  <c r="W582" i="61"/>
  <c r="W116" i="61"/>
  <c r="W115" i="61"/>
  <c r="W90" i="61"/>
  <c r="W747" i="61"/>
  <c r="W55" i="61"/>
  <c r="W749" i="61"/>
  <c r="W518" i="61"/>
  <c r="W877" i="61"/>
  <c r="W309" i="61"/>
  <c r="W455" i="61"/>
  <c r="W252" i="61"/>
  <c r="W746" i="61"/>
  <c r="W249" i="61"/>
  <c r="W350" i="61"/>
  <c r="W177" i="61"/>
  <c r="W833" i="61"/>
  <c r="W108" i="61"/>
  <c r="W719" i="61"/>
  <c r="W74" i="61"/>
  <c r="W929" i="61"/>
  <c r="W847" i="61"/>
  <c r="W193" i="61"/>
  <c r="W715" i="61"/>
  <c r="W647" i="61"/>
  <c r="W893" i="61"/>
  <c r="W539" i="61"/>
  <c r="W813" i="61"/>
  <c r="W149" i="61"/>
  <c r="W170" i="61"/>
  <c r="W730" i="61"/>
  <c r="W513" i="61"/>
  <c r="W160" i="61"/>
  <c r="W853" i="61"/>
  <c r="W71" i="61"/>
  <c r="W862" i="61"/>
  <c r="W837" i="61"/>
  <c r="W130" i="61"/>
  <c r="W541" i="61"/>
  <c r="W404" i="61"/>
  <c r="W722" i="61"/>
  <c r="W473" i="61"/>
  <c r="W874" i="61"/>
  <c r="W358" i="61"/>
  <c r="W834" i="61"/>
  <c r="W35" i="61"/>
  <c r="W653" i="61"/>
  <c r="W79" i="61"/>
  <c r="W106" i="61"/>
  <c r="W255" i="61"/>
  <c r="W677" i="61"/>
  <c r="W803" i="61"/>
  <c r="W76" i="61"/>
  <c r="W158" i="61"/>
  <c r="W781" i="61"/>
  <c r="W846" i="61"/>
  <c r="W938" i="61"/>
  <c r="W257" i="61"/>
  <c r="W646" i="61"/>
  <c r="W227" i="61"/>
  <c r="W570" i="61"/>
  <c r="W274" i="61"/>
  <c r="W228" i="61"/>
  <c r="W717" i="61"/>
  <c r="W855" i="61"/>
  <c r="W575" i="61"/>
  <c r="W306" i="61"/>
  <c r="W335" i="61"/>
  <c r="W445" i="61"/>
  <c r="W394" i="61"/>
  <c r="W216" i="61"/>
  <c r="W534" i="61"/>
  <c r="W112" i="61"/>
  <c r="W899" i="61"/>
  <c r="W835" i="61"/>
  <c r="W453" i="61"/>
  <c r="W452" i="61"/>
  <c r="W869" i="61"/>
  <c r="W36" i="61"/>
  <c r="W233" i="61"/>
  <c r="W911" i="61"/>
  <c r="W323" i="61"/>
  <c r="W487" i="61"/>
  <c r="W915" i="61"/>
  <c r="W991" i="61"/>
  <c r="W104" i="61"/>
  <c r="W815" i="61"/>
  <c r="W797" i="61"/>
  <c r="W733" i="61"/>
  <c r="W523" i="61"/>
  <c r="W368" i="61"/>
  <c r="W393" i="61"/>
  <c r="W20" i="61"/>
  <c r="W861" i="61"/>
  <c r="W273" i="61"/>
  <c r="W303" i="61"/>
  <c r="W123" i="61"/>
  <c r="W243" i="61"/>
  <c r="W566" i="61"/>
  <c r="W670" i="61"/>
  <c r="W345" i="61"/>
  <c r="W773" i="61"/>
  <c r="W799" i="61"/>
  <c r="W359" i="61"/>
  <c r="W923" i="61"/>
  <c r="W430" i="61"/>
  <c r="W414" i="61"/>
  <c r="W399" i="61"/>
  <c r="W105" i="61"/>
  <c r="W699" i="61"/>
  <c r="W167" i="61"/>
  <c r="W307" i="61"/>
  <c r="W557" i="61"/>
  <c r="W902" i="61"/>
  <c r="W526" i="61"/>
  <c r="W471" i="61"/>
  <c r="W237" i="61"/>
  <c r="W671" i="61"/>
  <c r="W451" i="61"/>
  <c r="W887" i="61"/>
  <c r="W516" i="61"/>
  <c r="W612" i="61"/>
  <c r="W41" i="61"/>
  <c r="W631" i="61"/>
  <c r="W223" i="61"/>
  <c r="W622" i="61"/>
  <c r="W762" i="61"/>
  <c r="W913" i="61"/>
  <c r="W954" i="61"/>
  <c r="W842" i="61"/>
  <c r="W296" i="61"/>
  <c r="W761" i="61"/>
  <c r="W66" i="61"/>
  <c r="W111" i="61"/>
  <c r="W942" i="61"/>
  <c r="W380" i="61"/>
  <c r="W650" i="61"/>
  <c r="W529" i="61"/>
  <c r="W126" i="61"/>
  <c r="W157" i="61"/>
  <c r="W87" i="61"/>
  <c r="W464" i="61"/>
  <c r="W574" i="61"/>
  <c r="W208" i="61"/>
  <c r="W675" i="61"/>
  <c r="W858" i="61"/>
  <c r="W950" i="61"/>
  <c r="W82" i="61"/>
  <c r="W150" i="61"/>
  <c r="W859" i="61"/>
  <c r="W955" i="61"/>
  <c r="W545" i="61"/>
  <c r="W918" i="61"/>
  <c r="W828" i="61"/>
  <c r="W638" i="61"/>
  <c r="W135" i="61"/>
  <c r="W392" i="61"/>
  <c r="W957" i="61"/>
  <c r="W776" i="61"/>
  <c r="W676" i="61"/>
  <c r="W483" i="61"/>
  <c r="W980" i="61"/>
  <c r="W860" i="61"/>
  <c r="W378" i="61"/>
  <c r="W759" i="61"/>
  <c r="W360" i="61"/>
  <c r="W716" i="61"/>
  <c r="W219" i="61"/>
  <c r="W900" i="61"/>
  <c r="W896" i="61"/>
  <c r="W967" i="61"/>
  <c r="W504" i="61"/>
  <c r="W804" i="61"/>
  <c r="W832" i="61"/>
  <c r="W377" i="61"/>
  <c r="W705" i="61"/>
  <c r="W768" i="61"/>
  <c r="W701" i="61"/>
  <c r="W960" i="61"/>
  <c r="W640" i="61"/>
  <c r="W764" i="61"/>
  <c r="W495" i="61"/>
  <c r="W748" i="61"/>
  <c r="W568" i="61"/>
  <c r="W987" i="61"/>
  <c r="W587" i="61"/>
  <c r="W304" i="61"/>
  <c r="W608" i="61"/>
  <c r="W724" i="61"/>
  <c r="W964" i="61"/>
  <c r="W791" i="61"/>
  <c r="W892" i="61"/>
  <c r="W552" i="61"/>
  <c r="W720" i="61"/>
  <c r="W565" i="61"/>
  <c r="W585" i="61"/>
  <c r="W440" i="61"/>
  <c r="W968" i="61"/>
  <c r="W98" i="61"/>
  <c r="W904" i="61"/>
  <c r="W864" i="61"/>
  <c r="W48" i="61"/>
  <c r="W89" i="61"/>
  <c r="W472" i="61"/>
  <c r="W535" i="61"/>
  <c r="W656" i="61"/>
  <c r="W820" i="61"/>
  <c r="W209" i="61"/>
  <c r="W881" i="61"/>
  <c r="W812" i="61"/>
  <c r="W664" i="61"/>
  <c r="W156" i="61"/>
  <c r="W344" i="61"/>
  <c r="W326" i="61"/>
  <c r="W742" i="61"/>
  <c r="W245" i="61"/>
  <c r="W880" i="61"/>
  <c r="W407" i="61"/>
  <c r="W132" i="61"/>
  <c r="W696" i="61"/>
  <c r="W680" i="61"/>
  <c r="W477" i="61"/>
  <c r="W636" i="61"/>
  <c r="W732" i="61"/>
  <c r="W873" i="61"/>
  <c r="W448" i="61"/>
  <c r="W644" i="61"/>
  <c r="W952" i="61"/>
  <c r="W553" i="61"/>
  <c r="W271" i="61"/>
  <c r="W357" i="61"/>
  <c r="W704" i="61"/>
  <c r="W836" i="61"/>
  <c r="W672" i="61"/>
  <c r="W867" i="61"/>
  <c r="W924" i="61"/>
  <c r="W948" i="61"/>
  <c r="W926" i="61"/>
  <c r="W928" i="61"/>
  <c r="W428" i="61"/>
  <c r="W628" i="61"/>
  <c r="W936" i="61"/>
  <c r="W611" i="61"/>
  <c r="W660" i="61"/>
  <c r="W561" i="61"/>
  <c r="W427" i="61"/>
  <c r="W712" i="61"/>
  <c r="W932" i="61"/>
  <c r="W562" i="61"/>
  <c r="W386" i="61"/>
  <c r="W355" i="61"/>
  <c r="W339" i="61"/>
  <c r="W876" i="61"/>
  <c r="W745" i="61"/>
  <c r="W852" i="61"/>
  <c r="W648" i="61"/>
  <c r="W740" i="61"/>
  <c r="W67" i="61"/>
  <c r="W824" i="61"/>
  <c r="W118" i="61"/>
  <c r="W752" i="61"/>
  <c r="W944" i="61"/>
  <c r="W693" i="61"/>
  <c r="W920" i="61"/>
  <c r="W688" i="61"/>
  <c r="W508" i="61"/>
  <c r="W780" i="61"/>
  <c r="W291" i="61"/>
  <c r="W488" i="61"/>
  <c r="W856" i="61"/>
  <c r="W153" i="61"/>
  <c r="W133" i="61"/>
  <c r="W958" i="61"/>
  <c r="W620" i="61"/>
  <c r="W821" i="61"/>
  <c r="W988" i="61"/>
  <c r="W744" i="61"/>
  <c r="W632" i="61"/>
  <c r="W460" i="61"/>
  <c r="W668" i="61"/>
  <c r="W616" i="61"/>
  <c r="W792" i="61"/>
  <c r="W302" i="61"/>
  <c r="W916" i="61"/>
  <c r="W718" i="61"/>
  <c r="W884" i="61"/>
  <c r="W840" i="61"/>
  <c r="W15" i="61"/>
  <c r="W800" i="61"/>
  <c r="W940" i="61"/>
  <c r="W908" i="61"/>
  <c r="W692" i="61"/>
  <c r="W788" i="61"/>
  <c r="W652" i="61"/>
  <c r="W844" i="61"/>
  <c r="W946" i="61"/>
  <c r="W784" i="61"/>
  <c r="W760" i="61"/>
  <c r="W236" i="61"/>
  <c r="W684" i="61"/>
  <c r="W972" i="61"/>
  <c r="W796" i="61"/>
  <c r="W46" i="61"/>
  <c r="W829" i="61"/>
  <c r="W700" i="61"/>
  <c r="W731" i="61"/>
  <c r="W956" i="61"/>
  <c r="W424" i="61"/>
  <c r="W456" i="61"/>
  <c r="W624" i="61"/>
  <c r="W606" i="61"/>
  <c r="W826" i="61"/>
  <c r="W984" i="61"/>
  <c r="W690" i="61"/>
  <c r="W808" i="61"/>
  <c r="W217" i="61"/>
  <c r="W756" i="61"/>
  <c r="W598" i="61"/>
  <c r="W868" i="61"/>
  <c r="W708" i="61"/>
  <c r="W184" i="61"/>
  <c r="W189" i="61"/>
  <c r="W25" i="61"/>
  <c r="W400" i="61"/>
  <c r="W600" i="61"/>
  <c r="W872" i="61"/>
  <c r="W408" i="61"/>
  <c r="W728" i="61"/>
  <c r="W888" i="61"/>
  <c r="W772" i="61"/>
  <c r="W281" i="61"/>
  <c r="W218" i="61"/>
  <c r="W494" i="61"/>
  <c r="W657" i="61"/>
  <c r="W536" i="61"/>
  <c r="W976" i="61"/>
  <c r="W584" i="61"/>
  <c r="W783" i="61"/>
  <c r="W816" i="61"/>
  <c r="W949" i="61"/>
  <c r="W73" i="61"/>
  <c r="W848" i="61"/>
  <c r="W992" i="61"/>
  <c r="W736" i="61"/>
  <c r="W376" i="61"/>
  <c r="W912" i="61"/>
  <c r="Q73" i="61"/>
  <c r="Q452" i="61"/>
  <c r="Q465" i="61"/>
  <c r="Q850" i="61"/>
  <c r="Q739" i="61"/>
  <c r="Q70" i="61"/>
  <c r="Q152" i="61"/>
  <c r="Q686" i="61"/>
  <c r="Q879" i="61"/>
  <c r="Q738" i="61"/>
  <c r="Q814" i="61"/>
  <c r="Q767" i="61"/>
  <c r="Q902" i="61"/>
  <c r="Q229" i="61"/>
  <c r="Q728" i="61"/>
  <c r="Q961" i="61"/>
  <c r="Q186" i="61"/>
  <c r="Q802" i="61"/>
  <c r="Q857" i="61"/>
  <c r="Q779" i="61"/>
  <c r="Q825" i="61"/>
  <c r="Q95" i="61"/>
  <c r="Q829" i="61"/>
  <c r="Q160" i="61"/>
  <c r="Q781" i="61"/>
  <c r="Q58" i="61"/>
  <c r="Q642" i="61"/>
  <c r="Q746" i="61"/>
  <c r="Q946" i="61"/>
  <c r="Q851" i="61"/>
  <c r="Q989" i="61"/>
  <c r="Q270" i="61"/>
  <c r="Q380" i="61"/>
  <c r="Q959" i="61"/>
  <c r="Q978" i="61"/>
  <c r="Q462" i="61"/>
  <c r="Q884" i="61"/>
  <c r="Q304" i="61"/>
  <c r="Q740" i="61"/>
  <c r="Q710" i="61"/>
  <c r="Q482" i="61"/>
  <c r="Q361" i="61"/>
  <c r="Q839" i="61"/>
  <c r="Q327" i="61"/>
  <c r="Q135" i="61"/>
  <c r="Q586" i="61"/>
  <c r="Q639" i="61"/>
  <c r="Q962" i="61"/>
  <c r="Q352" i="61"/>
  <c r="Q65" i="61"/>
  <c r="Q38" i="61"/>
  <c r="Q671" i="61"/>
  <c r="Q501" i="61"/>
  <c r="Q564" i="61"/>
  <c r="Q107" i="61"/>
  <c r="Q812" i="61"/>
  <c r="Q634" i="61"/>
  <c r="Q98" i="61"/>
  <c r="Q503" i="61"/>
  <c r="Q943" i="61"/>
  <c r="Q711" i="61"/>
  <c r="Q200" i="61"/>
  <c r="Q348" i="61"/>
  <c r="Q589" i="61"/>
  <c r="Q423" i="61"/>
  <c r="Q924" i="61"/>
  <c r="Q138" i="61"/>
  <c r="Q730" i="61"/>
  <c r="Q570" i="61"/>
  <c r="Q911" i="61"/>
  <c r="Q211" i="61"/>
  <c r="Q55" i="61"/>
  <c r="Q608" i="61"/>
  <c r="Q101" i="61"/>
  <c r="Q838" i="61"/>
  <c r="Q397" i="61"/>
  <c r="Q340" i="61"/>
  <c r="Q419" i="61"/>
  <c r="Q384" i="61"/>
  <c r="Q314" i="61"/>
  <c r="Q975" i="61"/>
  <c r="Q142" i="61"/>
  <c r="Q630" i="61"/>
  <c r="Q747" i="61"/>
  <c r="Q226" i="61"/>
  <c r="Q984" i="61"/>
  <c r="Q454" i="61"/>
  <c r="Q118" i="61"/>
  <c r="Q617" i="61"/>
  <c r="Q50" i="61"/>
  <c r="Q480" i="61"/>
  <c r="Q821" i="61"/>
  <c r="Q909" i="61"/>
  <c r="Q935" i="61"/>
  <c r="Q150" i="61"/>
  <c r="Q181" i="61"/>
  <c r="Q871" i="61"/>
  <c r="Q863" i="61"/>
  <c r="Q880" i="61"/>
  <c r="Q378" i="61"/>
  <c r="Q979" i="61"/>
  <c r="Q31" i="61"/>
  <c r="Q218" i="61"/>
  <c r="Q277" i="61"/>
  <c r="Q833" i="61"/>
  <c r="Q248" i="61"/>
  <c r="Q247" i="61"/>
  <c r="Q125" i="61"/>
  <c r="Q955" i="61"/>
  <c r="Q66" i="61"/>
  <c r="Q495" i="61"/>
  <c r="Q619" i="61"/>
  <c r="Q597" i="61"/>
  <c r="Q970" i="61"/>
  <c r="Q404" i="61"/>
  <c r="Q492" i="61"/>
  <c r="Q719" i="61"/>
  <c r="Q483" i="61"/>
  <c r="Q42" i="61"/>
  <c r="Q991" i="61"/>
  <c r="Q426" i="61"/>
  <c r="Q910" i="61"/>
  <c r="Q625" i="61"/>
  <c r="Q963" i="61"/>
  <c r="Q435" i="61"/>
  <c r="Q689" i="61"/>
  <c r="Q359" i="61"/>
  <c r="Q574" i="61"/>
  <c r="Q85" i="61"/>
  <c r="Q915" i="61"/>
  <c r="Q856" i="61"/>
  <c r="Q862" i="61"/>
  <c r="Q798" i="61"/>
  <c r="Q651" i="61"/>
  <c r="Q865" i="61"/>
  <c r="Q240" i="61"/>
  <c r="Q716" i="61"/>
  <c r="Q180" i="61"/>
  <c r="Q201" i="61"/>
  <c r="Q415" i="61"/>
  <c r="Q468" i="61"/>
  <c r="Q228" i="61"/>
  <c r="Q974" i="61"/>
  <c r="Q399" i="61"/>
  <c r="Q214" i="61"/>
  <c r="Q684" i="61"/>
  <c r="Q56" i="61"/>
  <c r="Q28" i="61"/>
  <c r="Q661" i="61"/>
  <c r="Q731" i="61"/>
  <c r="Q134" i="61"/>
  <c r="Q474" i="61"/>
  <c r="Q930" i="61"/>
  <c r="Q487" i="61"/>
  <c r="Q732" i="61"/>
  <c r="Q188" i="61"/>
  <c r="Q239" i="61"/>
  <c r="Q437" i="61"/>
  <c r="Q678" i="61"/>
  <c r="Q992" i="61"/>
  <c r="Q815" i="61"/>
  <c r="Q853" i="61"/>
  <c r="Q318" i="61"/>
  <c r="Q388" i="61"/>
  <c r="Q797" i="61"/>
  <c r="Q262" i="61"/>
  <c r="Q172" i="61"/>
  <c r="Q656" i="61"/>
  <c r="Q255" i="61"/>
  <c r="Q51" i="61"/>
  <c r="Q183" i="61"/>
  <c r="Q816" i="61"/>
  <c r="Q659" i="61"/>
  <c r="Q355" i="61"/>
  <c r="Q772" i="61"/>
  <c r="Q729" i="61"/>
  <c r="Q555" i="61"/>
  <c r="Q382" i="61"/>
  <c r="Q585" i="61"/>
  <c r="Q137" i="61"/>
  <c r="Q386" i="61"/>
  <c r="Q182" i="61"/>
  <c r="Q860" i="61"/>
  <c r="Q335" i="61"/>
  <c r="Q907" i="61"/>
  <c r="Q721" i="61"/>
  <c r="Q937" i="61"/>
  <c r="Q666" i="61"/>
  <c r="Q427" i="61"/>
  <c r="Q236" i="61"/>
  <c r="Q881" i="61"/>
  <c r="Q401" i="61"/>
  <c r="Q563" i="61"/>
  <c r="Q119" i="61"/>
  <c r="Q951" i="61"/>
  <c r="Q873" i="61"/>
  <c r="Q458" i="61"/>
  <c r="Q413" i="61"/>
  <c r="Q926" i="61"/>
  <c r="Q903" i="61"/>
  <c r="Q288" i="61"/>
  <c r="Q964" i="61"/>
  <c r="Q949" i="61"/>
  <c r="Q627" i="61"/>
  <c r="Q883" i="61"/>
  <c r="Q156" i="61"/>
  <c r="Q498" i="61"/>
  <c r="Q776" i="61"/>
  <c r="Q364" i="61"/>
  <c r="Q90" i="61"/>
  <c r="Q764" i="61"/>
  <c r="Q297" i="61"/>
  <c r="Q272" i="61"/>
  <c r="Q299" i="61"/>
  <c r="Q385" i="61"/>
  <c r="Q499" i="61"/>
  <c r="Q213" i="61"/>
  <c r="Q245" i="61"/>
  <c r="Q692" i="61"/>
  <c r="Q988" i="61"/>
  <c r="Q550" i="61"/>
  <c r="Q287" i="61"/>
  <c r="Q194" i="61"/>
  <c r="Q47" i="61"/>
  <c r="Q581" i="61"/>
  <c r="Q476" i="61"/>
  <c r="Q572" i="61"/>
  <c r="Q940" i="61"/>
  <c r="Q872" i="61"/>
  <c r="Q687" i="61"/>
  <c r="Q759" i="61"/>
  <c r="Q33" i="61"/>
  <c r="Q705" i="61"/>
  <c r="Q124" i="61"/>
  <c r="Q295" i="61"/>
  <c r="Q62" i="61"/>
  <c r="Q552" i="61"/>
  <c r="Q824" i="61"/>
  <c r="Q875" i="61"/>
  <c r="Q723" i="61"/>
  <c r="Q258" i="61"/>
  <c r="Q533" i="61"/>
  <c r="Q104" i="61"/>
  <c r="Q184" i="61"/>
  <c r="Q221" i="61"/>
  <c r="Q543" i="61"/>
  <c r="Q54" i="61"/>
  <c r="Q569" i="61"/>
  <c r="Q615" i="61"/>
  <c r="Q745" i="61"/>
  <c r="Q840" i="61"/>
  <c r="Q592" i="61"/>
  <c r="Q737" i="61"/>
  <c r="Q323" i="61"/>
  <c r="Q562" i="61"/>
  <c r="Q96" i="61"/>
  <c r="Q965" i="61"/>
  <c r="Q105" i="61"/>
  <c r="Q497" i="61"/>
  <c r="Q266" i="61"/>
  <c r="Q827" i="61"/>
  <c r="Q439" i="61"/>
  <c r="Q648" i="61"/>
  <c r="Q614" i="61"/>
  <c r="Q440" i="61"/>
  <c r="Q788" i="61"/>
  <c r="Q855" i="61"/>
  <c r="Q528" i="61"/>
  <c r="Q321" i="61"/>
  <c r="Q724" i="61"/>
  <c r="Q755" i="61"/>
  <c r="Q67" i="61"/>
  <c r="Q202" i="61"/>
  <c r="Q285" i="61"/>
  <c r="Q443" i="61"/>
  <c r="Q653" i="61"/>
  <c r="Q985" i="61"/>
  <c r="Q185" i="61"/>
  <c r="Q848" i="61"/>
  <c r="Q524" i="61"/>
  <c r="Q618" i="61"/>
  <c r="Q136" i="61"/>
  <c r="Q246" i="61"/>
  <c r="Q674" i="61"/>
  <c r="Q858" i="61"/>
  <c r="Q966" i="61"/>
  <c r="Q206" i="61"/>
  <c r="Q217" i="61"/>
  <c r="Q269" i="61"/>
  <c r="Q694" i="61"/>
  <c r="Q580" i="61"/>
  <c r="Q867" i="61"/>
  <c r="Q758" i="61"/>
  <c r="Q967" i="61"/>
  <c r="Q793" i="61"/>
  <c r="Q76" i="61"/>
  <c r="Q127" i="61"/>
  <c r="Q849" i="61"/>
  <c r="Q565" i="61"/>
  <c r="Q707" i="61"/>
  <c r="Q400" i="61"/>
  <c r="Q598" i="61"/>
  <c r="Q163" i="61"/>
  <c r="Q428" i="61"/>
  <c r="Q326" i="61"/>
  <c r="Q980" i="61"/>
  <c r="Q877" i="61"/>
  <c r="Q742" i="61"/>
  <c r="Q631" i="61"/>
  <c r="Q315" i="61"/>
  <c r="Q241" i="61"/>
  <c r="Q899" i="61"/>
  <c r="Q577" i="61"/>
  <c r="Q52" i="61"/>
  <c r="Q544" i="61"/>
  <c r="Q658" i="61"/>
  <c r="Q32" i="61"/>
  <c r="Q587" i="61"/>
  <c r="Q471" i="61"/>
  <c r="Q372" i="61"/>
  <c r="Q448" i="61"/>
  <c r="Q407" i="61"/>
  <c r="Q896" i="61"/>
  <c r="Q773" i="61"/>
  <c r="Q220" i="61"/>
  <c r="Q358" i="61"/>
  <c r="Q207" i="61"/>
  <c r="Q215" i="61"/>
  <c r="Q111" i="61"/>
  <c r="Q983" i="61"/>
  <c r="Q300" i="61"/>
  <c r="Q609" i="61"/>
  <c r="Q92" i="61"/>
  <c r="Q313" i="61"/>
  <c r="Q479" i="61"/>
  <c r="Q780" i="61"/>
  <c r="Q75" i="61"/>
  <c r="Q115" i="61"/>
  <c r="Q606" i="61"/>
  <c r="Q79" i="61"/>
  <c r="Q945" i="61"/>
  <c r="Q660" i="61"/>
  <c r="Q94" i="61"/>
  <c r="Q736" i="61"/>
  <c r="Q783" i="61"/>
  <c r="Q673" i="61"/>
  <c r="Q84" i="61"/>
  <c r="Q170" i="61"/>
  <c r="Q973" i="61"/>
  <c r="Q189" i="61"/>
  <c r="Q279" i="61"/>
  <c r="Q891" i="61"/>
  <c r="Q722" i="61"/>
  <c r="Q100" i="61"/>
  <c r="Q897" i="61"/>
  <c r="Q972" i="61"/>
  <c r="Q116" i="61"/>
  <c r="Q669" i="61"/>
  <c r="Q110" i="61"/>
  <c r="Q957" i="61"/>
  <c r="Q78" i="61"/>
  <c r="Q60" i="61"/>
  <c r="Q433" i="61"/>
  <c r="Q626" i="61"/>
  <c r="Q451" i="61"/>
  <c r="Q317" i="61"/>
  <c r="Q493" i="61"/>
  <c r="Q703" i="61"/>
  <c r="Q735" i="61"/>
  <c r="Q775" i="61"/>
  <c r="Q603" i="61"/>
  <c r="Q750" i="61"/>
  <c r="Q344" i="61"/>
  <c r="Q337" i="61"/>
  <c r="Q444" i="61"/>
  <c r="Q357" i="61"/>
  <c r="Q818" i="61"/>
  <c r="Q283" i="61"/>
  <c r="Q86" i="61"/>
  <c r="Q906" i="61"/>
  <c r="Q381" i="61"/>
  <c r="Q578" i="61"/>
  <c r="Q646" i="61"/>
  <c r="Q917" i="61"/>
  <c r="Q505" i="61"/>
  <c r="Q607" i="61"/>
  <c r="Q870" i="61"/>
  <c r="Q571" i="61"/>
  <c r="Q808" i="61"/>
  <c r="Q905" i="61"/>
  <c r="Q919" i="61"/>
  <c r="Q395" i="61"/>
  <c r="Q208" i="61"/>
  <c r="Q195" i="61"/>
  <c r="Q795" i="61"/>
  <c r="Q330" i="61"/>
  <c r="Q252" i="61"/>
  <c r="Q126" i="61"/>
  <c r="Q391" i="61"/>
  <c r="Q807" i="61"/>
  <c r="Q341" i="61"/>
  <c r="Q567" i="61"/>
  <c r="Q145" i="61"/>
  <c r="Q599" i="61"/>
  <c r="Q852" i="61"/>
  <c r="Q699" i="61"/>
  <c r="Q256" i="61"/>
  <c r="Q93" i="61"/>
  <c r="Q45" i="61"/>
  <c r="Q835" i="61"/>
  <c r="Q923" i="61"/>
  <c r="Q541" i="61"/>
  <c r="Q734" i="61"/>
  <c r="Q175" i="61"/>
  <c r="Q868" i="61"/>
  <c r="Q594" i="61"/>
  <c r="Q155" i="61"/>
  <c r="Q253" i="61"/>
  <c r="Q898" i="61"/>
  <c r="Q777" i="61"/>
  <c r="Q844" i="61"/>
  <c r="Q459" i="61"/>
  <c r="Q265" i="61"/>
  <c r="Q121" i="61"/>
  <c r="Q628" i="61"/>
  <c r="Q338" i="61"/>
  <c r="Q57" i="61"/>
  <c r="Q784" i="61"/>
  <c r="Q657" i="61"/>
  <c r="Q80" i="61"/>
  <c r="Q765" i="61"/>
  <c r="Q197" i="61"/>
  <c r="Q854" i="61"/>
  <c r="Q263" i="61"/>
  <c r="Q662" i="61"/>
  <c r="Q540" i="61"/>
  <c r="Q114" i="61"/>
  <c r="Q770" i="61"/>
  <c r="Q167" i="61"/>
  <c r="Q49" i="61"/>
  <c r="Q324" i="61"/>
  <c r="Q436" i="61"/>
  <c r="Q112" i="61"/>
  <c r="Q406" i="61"/>
  <c r="Q522" i="61"/>
  <c r="Q168" i="61"/>
  <c r="Q635" i="61"/>
  <c r="Q370" i="61"/>
  <c r="Q193" i="61"/>
  <c r="Q232" i="61"/>
  <c r="Q431" i="61"/>
  <c r="Q676" i="61"/>
  <c r="Q29" i="61"/>
  <c r="Q429" i="61"/>
  <c r="Q663" i="61"/>
  <c r="Q549" i="61"/>
  <c r="Q512" i="61"/>
  <c r="Q554" i="61"/>
  <c r="Q525" i="61"/>
  <c r="Q836" i="61"/>
  <c r="Q97" i="61"/>
  <c r="Q675" i="61"/>
  <c r="Q203" i="61"/>
  <c r="Q612" i="61"/>
  <c r="Q823" i="61"/>
  <c r="Q712" i="61"/>
  <c r="Q173" i="61"/>
  <c r="Q311" i="61"/>
  <c r="Q129" i="61"/>
  <c r="Q222" i="61"/>
  <c r="Q566" i="61"/>
  <c r="Q140" i="61"/>
  <c r="Q298" i="61"/>
  <c r="Q753" i="61"/>
  <c r="Q411" i="61"/>
  <c r="Q575" i="61"/>
  <c r="Q442" i="61"/>
  <c r="Q178" i="61"/>
  <c r="Q227" i="61"/>
  <c r="Q708" i="61"/>
  <c r="Q88" i="61"/>
  <c r="Q913" i="61"/>
  <c r="Q866" i="61"/>
  <c r="Q405" i="61"/>
  <c r="Q638" i="61"/>
  <c r="Q166" i="61"/>
  <c r="Q102" i="61"/>
  <c r="Q296" i="61"/>
  <c r="Q944" i="61"/>
  <c r="Q845" i="61"/>
  <c r="Q846" i="61"/>
  <c r="Q749" i="61"/>
  <c r="Q191" i="61"/>
  <c r="Q310" i="61"/>
  <c r="Q763" i="61"/>
  <c r="Q165" i="61"/>
  <c r="Q556" i="61"/>
  <c r="Q931" i="61"/>
  <c r="Q933" i="61"/>
  <c r="Q171" i="61"/>
  <c r="Q576" i="61"/>
  <c r="Q144" i="61"/>
  <c r="Q796" i="61"/>
  <c r="Q511" i="61"/>
  <c r="Q547" i="61"/>
  <c r="Q48" i="61"/>
  <c r="Q832" i="61"/>
  <c r="Q389" i="61"/>
  <c r="Q507" i="61"/>
  <c r="Q794" i="61"/>
  <c r="Q192" i="61"/>
  <c r="Q596" i="61"/>
  <c r="Q813" i="61"/>
  <c r="Q526" i="61"/>
  <c r="Q243" i="61"/>
  <c r="Q412" i="61"/>
  <c r="Q792" i="61"/>
  <c r="Q475" i="61"/>
  <c r="Q806" i="61"/>
  <c r="Q640" i="61"/>
  <c r="Q665" i="61"/>
  <c r="Q99" i="61"/>
  <c r="Q616" i="61"/>
  <c r="Q305" i="61"/>
  <c r="Q347" i="61"/>
  <c r="Q230" i="61"/>
  <c r="Q820" i="61"/>
  <c r="Q600" i="61"/>
  <c r="Q693" i="61"/>
  <c r="Q481" i="61"/>
  <c r="Q757" i="61"/>
  <c r="Q876" i="61"/>
  <c r="Q551" i="61"/>
  <c r="Q531" i="61"/>
  <c r="Q494" i="61"/>
  <c r="Q643" i="61"/>
  <c r="Q928" i="61"/>
  <c r="Q334" i="61"/>
  <c r="Q438" i="61"/>
  <c r="Q591" i="61"/>
  <c r="Q463" i="61"/>
  <c r="Q264" i="61"/>
  <c r="Q153" i="61"/>
  <c r="Q44" i="61"/>
  <c r="Q362" i="61"/>
  <c r="Q46" i="61"/>
  <c r="Q303" i="61"/>
  <c r="Q799" i="61"/>
  <c r="Q237" i="61"/>
  <c r="Q969" i="61"/>
  <c r="Q69" i="61"/>
  <c r="Q519" i="61"/>
  <c r="Q374" i="61"/>
  <c r="Q841" i="61"/>
  <c r="Q59" i="61"/>
  <c r="Q398" i="61"/>
  <c r="Q422" i="61"/>
  <c r="Q268" i="61"/>
  <c r="Q143" i="61"/>
  <c r="Q513" i="61"/>
  <c r="Q320" i="61"/>
  <c r="Q390" i="61"/>
  <c r="Q139" i="61"/>
  <c r="Q396" i="61"/>
  <c r="Q322" i="61"/>
  <c r="Q319" i="61"/>
  <c r="Q103" i="61"/>
  <c r="Q387" i="61"/>
  <c r="Q496" i="61"/>
  <c r="Q892" i="61"/>
  <c r="Q251" i="61"/>
  <c r="Q948" i="61"/>
  <c r="Q177" i="61"/>
  <c r="Q953" i="61"/>
  <c r="Q449" i="61"/>
  <c r="Q508" i="61"/>
  <c r="Q869" i="61"/>
  <c r="Q516" i="61"/>
  <c r="Q108" i="61"/>
  <c r="Q536" i="61"/>
  <c r="Q771" i="61"/>
  <c r="Q545" i="61"/>
  <c r="Q351" i="61"/>
  <c r="Q539" i="61"/>
  <c r="Q109" i="61"/>
  <c r="Q611" i="61"/>
  <c r="Q559" i="61"/>
  <c r="Q672" i="61"/>
  <c r="Q294" i="61"/>
  <c r="Q346" i="61"/>
  <c r="Q306" i="61"/>
  <c r="Q713" i="61"/>
  <c r="Q453" i="61"/>
  <c r="Q561" i="61"/>
  <c r="Q878" i="61"/>
  <c r="Q690" i="61"/>
  <c r="Q632" i="61"/>
  <c r="Q113" i="61"/>
  <c r="Q645" i="61"/>
  <c r="Q466" i="61"/>
  <c r="Q834" i="61"/>
  <c r="Q345" i="61"/>
  <c r="Q162" i="61"/>
  <c r="Q681" i="61"/>
  <c r="Q196" i="61"/>
  <c r="Q280" i="61"/>
  <c r="Q889" i="61"/>
  <c r="Q89" i="61"/>
  <c r="Q920" i="61"/>
  <c r="Q942" i="61"/>
  <c r="Q789" i="61"/>
  <c r="Q717" i="61"/>
  <c r="Q379" i="61"/>
  <c r="Q709" i="61"/>
  <c r="Q874" i="61"/>
  <c r="Q791" i="61"/>
  <c r="Q91" i="61"/>
  <c r="Q356" i="61"/>
  <c r="Q309" i="61"/>
  <c r="Q553" i="61"/>
  <c r="Q302" i="61"/>
  <c r="Q242" i="61"/>
  <c r="Q741" i="61"/>
  <c r="Q502" i="61"/>
  <c r="Q523" i="61"/>
  <c r="Q766" i="61"/>
  <c r="Q621" i="61"/>
  <c r="Q521" i="61"/>
  <c r="Q613" i="61"/>
  <c r="Q72" i="61"/>
  <c r="Q785" i="61"/>
  <c r="Q691" i="61"/>
  <c r="Q748" i="61"/>
  <c r="Q290" i="61"/>
  <c r="Q198" i="61"/>
  <c r="Q647" i="61"/>
  <c r="Q702" i="61"/>
  <c r="Q828" i="61"/>
  <c r="Q602" i="61"/>
  <c r="Q219" i="61"/>
  <c r="Q450" i="61"/>
  <c r="Q350" i="61"/>
  <c r="Q331" i="61"/>
  <c r="Q595" i="61"/>
  <c r="Q488" i="61"/>
  <c r="Q704" i="61"/>
  <c r="Q922" i="61"/>
  <c r="Q667" i="61"/>
  <c r="Q284" i="61"/>
  <c r="Q271" i="61"/>
  <c r="Q744" i="61"/>
  <c r="Q644" i="61"/>
  <c r="Q584" i="61"/>
  <c r="Q604" i="61"/>
  <c r="Q786" i="61"/>
  <c r="Q847" i="61"/>
  <c r="Q276" i="61"/>
  <c r="Q754" i="61"/>
  <c r="Q403" i="61"/>
  <c r="Q890" i="61"/>
  <c r="Q893" i="61"/>
  <c r="Q530" i="61"/>
  <c r="Q71" i="61"/>
  <c r="Q39" i="61"/>
  <c r="Q460" i="61"/>
  <c r="Q620" i="61"/>
  <c r="Q77" i="61"/>
  <c r="Q210" i="61"/>
  <c r="Q159" i="61"/>
  <c r="Q830" i="61"/>
  <c r="Q720" i="61"/>
  <c r="Q209" i="61"/>
  <c r="Q174" i="61"/>
  <c r="Q307" i="61"/>
  <c r="Q914" i="61"/>
  <c r="Q367" i="61"/>
  <c r="Q292" i="61"/>
  <c r="Q275" i="61"/>
  <c r="Q976" i="61"/>
  <c r="Q837" i="61"/>
  <c r="Q636" i="61"/>
  <c r="Q938" i="61"/>
  <c r="Q695" i="61"/>
  <c r="Q43" i="61"/>
  <c r="Q316" i="61"/>
  <c r="Q805" i="61"/>
  <c r="Q485" i="61"/>
  <c r="Q117" i="61"/>
  <c r="Q588" i="61"/>
  <c r="Q473" i="61"/>
  <c r="Q205" i="61"/>
  <c r="Q939" i="61"/>
  <c r="Q804" i="61"/>
  <c r="Q491" i="61"/>
  <c r="Q756" i="61"/>
  <c r="Q605" i="61"/>
  <c r="Q282" i="61"/>
  <c r="Q169" i="61"/>
  <c r="Q40" i="61"/>
  <c r="Q308" i="61"/>
  <c r="Q291" i="61"/>
  <c r="Q259" i="61"/>
  <c r="Q990" i="61"/>
  <c r="Q424" i="61"/>
  <c r="Q190" i="61"/>
  <c r="Q368" i="61"/>
  <c r="Q470" i="61"/>
  <c r="Q760" i="61"/>
  <c r="Q257" i="61"/>
  <c r="Q843" i="61"/>
  <c r="Q683" i="61"/>
  <c r="Q467" i="61"/>
  <c r="Q895" i="61"/>
  <c r="Q654" i="61"/>
  <c r="Q417" i="61"/>
  <c r="Q960" i="61"/>
  <c r="Q133" i="61"/>
  <c r="Q986" i="61"/>
  <c r="Q61" i="61"/>
  <c r="Q354" i="61"/>
  <c r="Q538" i="61"/>
  <c r="Q733" i="61"/>
  <c r="Q74" i="61"/>
  <c r="Q149" i="61"/>
  <c r="Q801" i="61"/>
  <c r="Q688" i="61"/>
  <c r="Q267" i="61"/>
  <c r="Q908" i="61"/>
  <c r="Q622" i="61"/>
  <c r="Q886" i="61"/>
  <c r="Q682" i="61"/>
  <c r="Q700" i="61"/>
  <c r="Q441" i="61"/>
  <c r="Q420" i="61"/>
  <c r="Q446" i="61"/>
  <c r="Q532" i="61"/>
  <c r="Q670" i="61"/>
  <c r="Q810" i="61"/>
  <c r="Q534" i="61"/>
  <c r="Q762" i="61"/>
  <c r="Q249" i="61"/>
  <c r="Q273" i="61"/>
  <c r="Q579" i="61"/>
  <c r="Q861" i="61"/>
  <c r="Q154" i="61"/>
  <c r="Q366" i="61"/>
  <c r="Q225" i="61"/>
  <c r="Q842" i="61"/>
  <c r="Q971" i="61"/>
  <c r="Q680" i="61"/>
  <c r="Q199" i="61"/>
  <c r="Q151" i="61"/>
  <c r="Q535" i="61"/>
  <c r="Q751" i="61"/>
  <c r="Q365" i="61"/>
  <c r="Q123" i="61"/>
  <c r="Q122" i="61"/>
  <c r="Q353" i="61"/>
  <c r="Q286" i="61"/>
  <c r="Q900" i="61"/>
  <c r="Q557" i="61"/>
  <c r="Q932" i="61"/>
  <c r="Q289" i="61"/>
  <c r="Q679" i="61"/>
  <c r="Q633" i="61"/>
  <c r="Q558" i="61"/>
  <c r="Q34" i="61"/>
  <c r="Q477" i="61"/>
  <c r="Q432" i="61"/>
  <c r="Q649" i="61"/>
  <c r="Q582" i="61"/>
  <c r="Q790" i="61"/>
  <c r="Q916" i="61"/>
  <c r="Q901" i="61"/>
  <c r="Q120" i="61"/>
  <c r="Q164" i="61"/>
  <c r="Q394" i="61"/>
  <c r="Q392" i="61"/>
  <c r="Q141" i="61"/>
  <c r="Q652" i="61"/>
  <c r="Q455" i="61"/>
  <c r="Q425" i="61"/>
  <c r="Q956" i="61"/>
  <c r="Q489" i="61"/>
  <c r="Q274" i="61"/>
  <c r="Q146" i="61"/>
  <c r="Q685" i="61"/>
  <c r="Q718" i="61"/>
  <c r="Q464" i="61"/>
  <c r="Q546" i="61"/>
  <c r="Q325" i="61"/>
  <c r="Q408" i="61"/>
  <c r="Q343" i="61"/>
  <c r="Q912" i="61"/>
  <c r="Q655" i="61"/>
  <c r="Q35" i="61"/>
  <c r="Q469" i="61"/>
  <c r="Q204" i="61"/>
  <c r="Q831" i="61"/>
  <c r="Q106" i="61"/>
  <c r="Q278" i="61"/>
  <c r="Q529" i="61"/>
  <c r="Q568" i="61"/>
  <c r="Q697" i="61"/>
  <c r="Q904" i="61"/>
  <c r="Q293" i="61"/>
  <c r="Q187" i="61"/>
  <c r="Q234" i="61"/>
  <c r="Q888" i="61"/>
  <c r="Q339" i="61"/>
  <c r="Q478" i="61"/>
  <c r="Q53" i="61"/>
  <c r="Q360" i="61"/>
  <c r="Q864" i="61"/>
  <c r="Q83" i="61"/>
  <c r="Q715" i="61"/>
  <c r="Q131" i="61"/>
  <c r="Q918" i="61"/>
  <c r="Q510" i="61"/>
  <c r="Q811" i="61"/>
  <c r="Q63" i="61"/>
  <c r="Q936" i="61"/>
  <c r="Q800" i="61"/>
  <c r="Q714" i="61"/>
  <c r="Q782" i="61"/>
  <c r="Q461" i="61"/>
  <c r="Q87" i="61"/>
  <c r="Q216" i="61"/>
  <c r="Q929" i="61"/>
  <c r="Q952" i="61"/>
  <c r="Q641" i="61"/>
  <c r="Q418" i="61"/>
  <c r="Q369" i="61"/>
  <c r="Q726" i="61"/>
  <c r="Q332" i="61"/>
  <c r="Q250" i="61"/>
  <c r="Q601" i="61"/>
  <c r="Q484" i="61"/>
  <c r="Q725" i="61"/>
  <c r="Q81" i="61"/>
  <c r="Q37" i="61"/>
  <c r="Q950" i="61"/>
  <c r="Q954" i="61"/>
  <c r="Q968" i="61"/>
  <c r="Q500" i="61"/>
  <c r="Q590" i="61"/>
  <c r="Q414" i="61"/>
  <c r="Q410" i="61"/>
  <c r="Q698" i="61"/>
  <c r="Q887" i="61"/>
  <c r="Q593" i="61"/>
  <c r="Q312" i="61"/>
  <c r="Q664" i="61"/>
  <c r="Q363" i="61"/>
  <c r="Q822" i="61"/>
  <c r="Q518" i="61"/>
  <c r="Q235" i="61"/>
  <c r="Q260" i="61"/>
  <c r="Q934" i="61"/>
  <c r="Q623" i="61"/>
  <c r="Q882" i="61"/>
  <c r="Q486" i="61"/>
  <c r="Q624" i="61"/>
  <c r="Q383" i="61"/>
  <c r="Q244" i="61"/>
  <c r="Q768" i="61"/>
  <c r="Q509" i="61"/>
  <c r="Q650" i="61"/>
  <c r="Q548" i="61"/>
  <c r="Q472" i="61"/>
  <c r="Q925" i="61"/>
  <c r="Q212" i="61"/>
  <c r="Q517" i="61"/>
  <c r="Q375" i="61"/>
  <c r="Q514" i="61"/>
  <c r="Q490" i="61"/>
  <c r="Q629" i="61"/>
  <c r="Q281" i="61"/>
  <c r="Q774" i="61"/>
  <c r="Q409" i="61"/>
  <c r="Q30" i="61"/>
  <c r="Q504" i="61"/>
  <c r="Q157" i="61"/>
  <c r="Q223" i="61"/>
  <c r="Q520" i="61"/>
  <c r="Q161" i="61"/>
  <c r="Q637" i="61"/>
  <c r="Q402" i="61"/>
  <c r="Q803" i="61"/>
  <c r="Q668" i="61"/>
  <c r="Q583" i="61"/>
  <c r="Q701" i="61"/>
  <c r="Q809" i="61"/>
  <c r="Q231" i="61"/>
  <c r="Q826" i="61"/>
  <c r="Q457" i="61"/>
  <c r="Q743" i="61"/>
  <c r="Q573" i="61"/>
  <c r="Q147" i="61"/>
  <c r="Q706" i="61"/>
  <c r="Q537" i="61"/>
  <c r="Q769" i="61"/>
  <c r="Q261" i="61"/>
  <c r="Q333" i="61"/>
  <c r="Q179" i="61"/>
  <c r="Q376" i="61"/>
  <c r="Q82" i="61"/>
  <c r="Q542" i="61"/>
  <c r="Q68" i="61"/>
  <c r="Q456" i="61"/>
  <c r="Q752" i="61"/>
  <c r="Q958" i="61"/>
  <c r="Q947" i="61"/>
  <c r="Q677" i="61"/>
  <c r="Q982" i="61"/>
  <c r="Q158" i="61"/>
  <c r="Q447" i="61"/>
  <c r="Q894" i="61"/>
  <c r="Q416" i="61"/>
  <c r="Q41" i="61"/>
  <c r="Q373" i="61"/>
  <c r="Q787" i="61"/>
  <c r="Q778" i="61"/>
  <c r="Q921" i="61"/>
  <c r="Q254" i="61"/>
  <c r="Q36" i="61"/>
  <c r="Q238" i="61"/>
  <c r="Q981" i="61"/>
  <c r="Q434" i="61"/>
  <c r="Q336" i="61"/>
  <c r="Q130" i="61"/>
  <c r="Q761" i="61"/>
  <c r="Q817" i="61"/>
  <c r="Q987" i="61"/>
  <c r="Q64" i="61"/>
  <c r="Q727" i="61"/>
  <c r="Q610" i="61"/>
  <c r="Q233" i="61"/>
  <c r="Q349" i="61"/>
  <c r="Q342" i="61"/>
  <c r="Q224" i="61"/>
  <c r="Q506" i="61"/>
  <c r="Q859" i="61"/>
  <c r="Q371" i="61"/>
  <c r="Q128" i="61"/>
  <c r="Q148" i="61"/>
  <c r="Q560" i="61"/>
  <c r="Q941" i="61"/>
  <c r="Q819" i="61"/>
  <c r="Q421" i="61"/>
  <c r="Q977" i="61"/>
  <c r="Q696" i="61"/>
  <c r="Q301" i="61"/>
  <c r="Q445" i="61"/>
  <c r="Q430" i="61"/>
  <c r="Q393" i="61"/>
  <c r="Q329" i="61"/>
  <c r="Q377" i="61"/>
  <c r="Q515" i="61"/>
  <c r="Q176" i="61"/>
  <c r="Q885" i="61"/>
  <c r="Q527" i="61"/>
  <c r="Q132" i="61"/>
  <c r="Q328" i="61"/>
  <c r="Q927" i="6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511D82E3-04F2-481D-94EA-A17C293D9FAB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 zamčených verzích formulářů se tato položka vyplňuje na základě údaje, který byl zadán při platbě SMS.</t>
        </r>
      </text>
    </comment>
    <comment ref="B9" authorId="0" shapeId="0" xr:uid="{2AB1121D-EF59-4C00-9092-D79D2633E155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D7" authorId="0" shapeId="0" xr:uid="{9F3D77A6-6F7B-4EE5-8EE7-676407740897}">
      <text>
        <r>
          <rPr>
            <b/>
            <sz val="9"/>
            <color indexed="81"/>
            <rFont val="Tahoma"/>
            <family val="2"/>
            <charset val="238"/>
          </rPr>
          <t xml:space="preserve">Mgr. Martin Štěpán:
</t>
        </r>
        <r>
          <rPr>
            <sz val="9"/>
            <color indexed="81"/>
            <rFont val="Tahoma"/>
            <family val="2"/>
            <charset val="238"/>
          </rPr>
          <t xml:space="preserve">Pokud vykonáváte činnost OSVČ jako vedlejší a Váš příjem nedosáhl rozhodné částky ( pro rok 2021 = 85.058,- Kč ), nemusíte být sociálně pojištěni. Pokud nechcete být sociálně pojištěni, uveďte do tohoto řádku 0.
</t>
        </r>
      </text>
    </comment>
    <comment ref="AD9" authorId="0" shapeId="0" xr:uid="{1B11D0F7-0EDA-4A43-9F65-85E9C1EA48EF}">
      <text>
        <r>
          <rPr>
            <b/>
            <sz val="9"/>
            <color indexed="81"/>
            <rFont val="Tahoma"/>
            <family val="2"/>
            <charset val="238"/>
          </rPr>
          <t>Mgr. Martin Štěpán:</t>
        </r>
        <r>
          <rPr>
            <sz val="9"/>
            <color indexed="81"/>
            <rFont val="Tahoma"/>
            <family val="2"/>
            <charset val="238"/>
          </rPr>
          <t xml:space="preserve">
Nechcete-li si platit v roce 2022 nemocenské pojištění OSVČ, vepište částku 0,- Kč.</t>
        </r>
      </text>
    </comment>
    <comment ref="AN15" authorId="0" shapeId="0" xr:uid="{BA2FCA76-01F1-4050-AC7E-FD44380986DC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K28" authorId="0" shapeId="0" xr:uid="{983106BD-3352-45C0-8C82-414F8737E79C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75FAF485-1913-47E7-9FC2-09AAD6BBA7BB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5" authorId="0" shapeId="0" xr:uid="{F57BD710-91F0-4B56-BFB5-4EDB3094E28A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D32946BF-B095-4CF9-A2A9-48D2BBF94431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5" authorId="0" shapeId="0" xr:uid="{D8A03561-10F8-4F6C-AAF0-8C66349690F6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G8" authorId="0" shapeId="0" xr:uid="{013E6163-14FB-4881-94A8-CEDE1A198D64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Vyfiltrováním řádků s textem "ANO" dojde k vytištění pouze řádků s nenulovými hodnotami a řádků označných pouze velkým písmenem.
Vyfiltrování se provede tak, že kliknete na šipku/trychtýř v této buňce a následně vyberete pouze položku "ANO"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ASPEKT HM : Tato položka se přenáší z listu závěrka (ZAV), který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4" authorId="1" shapeId="0" xr:uid="{32B1AA5D-689B-46E1-A45D-2315B5EF7AE7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00000000-0006-0000-0700-000002000000}">
      <text>
        <r>
          <rPr>
            <b/>
            <sz val="9"/>
            <color indexed="81"/>
            <rFont val="Tahoma"/>
            <family val="2"/>
            <charset val="238"/>
          </rPr>
          <t>Mgr. Martin Štěpán:</t>
        </r>
        <r>
          <rPr>
            <sz val="9"/>
            <color indexed="81"/>
            <rFont val="Tahoma"/>
            <family val="2"/>
            <charset val="238"/>
          </rPr>
          <t xml:space="preserve">
V roce 2021 lze uplatnit max. 15.200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D29" authorId="0" shapeId="0" xr:uid="{47E495CA-5B59-4B3B-961C-3050371DBFA4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Podle § 35c odst. 3 má poplatník nárok na daňový bonus jen v případě, že jeho celkové příjmy podle § 6 a § 7 zákona převyšují šestinásobek minimální mzdy, která je pro rok 2021 v hodnotě 15.200,- Kč.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29" authorId="0" shapeId="0" xr:uid="{00000000-0006-0000-08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402879BC-A506-40D1-B671-2C98E217D906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color indexed="81"/>
            <rFont val="Tahoma"/>
            <family val="2"/>
            <charset val="238"/>
          </rPr>
          <t>Martin Štěpán - ASPEKT HM:</t>
        </r>
        <r>
          <rPr>
            <sz val="8"/>
            <color indexed="81"/>
            <rFont val="Tahoma"/>
            <family val="2"/>
            <charset val="238"/>
          </rPr>
          <t xml:space="preserve">
Pokud vedete účetnictví, řádky 101 a 102 nevyplňujte a začněte řádkem 104, kam vepište hospodářský výsledek před zdaněním zjištěný z účetnictví.</t>
        </r>
      </text>
    </comment>
    <comment ref="A27" authorId="1" shapeId="0" xr:uid="{00000000-0006-0000-0A00-000003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Tuto položku vyplní pouze poplatníci účtující v soustavě podvojného účetnictví.</t>
        </r>
        <r>
          <rPr>
            <b/>
            <sz val="8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Mgr. Martin Štěpán: </t>
        </r>
        <r>
          <rPr>
            <sz val="9"/>
            <color indexed="81"/>
            <rFont val="Tahoma"/>
            <family val="2"/>
            <charset val="238"/>
          </rPr>
          <t xml:space="preserve">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color indexed="81"/>
            <rFont val="Tahoma"/>
            <family val="2"/>
            <charset val="238"/>
          </rPr>
          <t>Příklad : D - prodej cenných papírů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12465CE8-3171-4CEB-8BDA-B643EA45438F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18" authorId="0" shapeId="0" xr:uid="{BF495C5F-B1AB-4305-B47B-3A96A2DA2442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G28" authorId="0" shapeId="0" xr:uid="{D0ADBD8D-5A52-4332-8472-9B18E58AADC5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P46" authorId="0" shapeId="0" xr:uid="{49BE97D3-6675-43F3-ADC1-17EF21485D17}">
      <text>
        <r>
          <rPr>
            <b/>
            <sz val="8"/>
            <color indexed="81"/>
            <rFont val="Tahoma"/>
            <family val="2"/>
            <charset val="238"/>
          </rPr>
          <t>Mgr. Martin Štěpán:</t>
        </r>
        <r>
          <rPr>
            <sz val="8"/>
            <color indexed="81"/>
            <rFont val="Tahoma"/>
            <family val="2"/>
            <charset val="238"/>
          </rPr>
          <t xml:space="preserve">
Pokud jste vykonávali činnost OSVČ v některých měsících jako vedlejší a Váš daňový základ (ř. 20) nedosáhl rozhodné částky (pro rok 2021 = 85.058,-),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0" authorId="0" shapeId="0" xr:uid="{E10C9D71-1E80-4ACC-9CDA-7F6E331193CF}">
      <text>
        <r>
          <rPr>
            <b/>
            <sz val="8"/>
            <color indexed="81"/>
            <rFont val="Tahoma"/>
            <family val="2"/>
            <charset val="238"/>
          </rPr>
          <t xml:space="preserve">Mgr. Martin Štěpán:
</t>
        </r>
        <r>
          <rPr>
            <sz val="8"/>
            <color indexed="81"/>
            <rFont val="Tahoma"/>
            <family val="2"/>
            <charset val="238"/>
          </rPr>
          <t>Pokud jste vykonávali činnost OSVČ v některých měsících jako vedlejší a Váš daňový základ (ř. 20) nedosáhl rozhodné částky (pro rok 2021 = 85.058,-),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AK67" authorId="0" shapeId="0" xr:uid="{E0E025E9-3F4F-46BC-897D-40E9D27EF95A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<sst xmlns="http://schemas.openxmlformats.org/spreadsheetml/2006/main" count="7839" uniqueCount="4000">
  <si>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</si>
  <si>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</si>
  <si>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</si>
  <si>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</si>
  <si>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</si>
  <si>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</si>
  <si>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</si>
  <si>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</si>
  <si>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</si>
  <si>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</si>
  <si>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</si>
  <si>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</si>
  <si>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</si>
  <si>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</si>
  <si>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</si>
  <si>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</si>
  <si>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</si>
  <si>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</si>
  <si>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</si>
  <si>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</si>
  <si>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</si>
  <si>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</si>
  <si>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</si>
  <si>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</si>
  <si>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</si>
  <si>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</si>
  <si>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</si>
  <si>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</si>
  <si>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</si>
  <si>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</si>
  <si>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</si>
  <si>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</si>
  <si>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</si>
  <si>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</si>
  <si>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</si>
  <si>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</si>
  <si>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</si>
  <si>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</si>
  <si>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</si>
  <si>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</si>
  <si>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</si>
  <si>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</si>
  <si>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Číslo domu</t>
  </si>
  <si>
    <t>PSČ</t>
  </si>
  <si>
    <t>Datum vyplnění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</si>
  <si>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</si>
  <si>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</si>
  <si>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</si>
  <si>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</si>
  <si>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</si>
  <si>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</si>
  <si>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</si>
  <si>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r>
      <t>5. příjmy</t>
    </r>
    <r>
      <rPr>
        <sz val="8"/>
        <rFont val="Arial"/>
        <family val="2"/>
        <charset val="238"/>
      </rPr>
      <t xml:space="preserve"> - uveďte výši příjmů ze zdrojů v tomto státě, ustanovenou podle § 38f odst. 3 zákona, nebo v případě, že nemáte k dispozici doklady zahraničního správce daně, uveďte odhadovanou výši příjmů, příjmy ze závislé činosti uveďte v souladu s § 6 odst. 14 zákona</t>
    </r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</si>
  <si>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</si>
  <si>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</si>
  <si>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</si>
  <si>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</si>
  <si>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</si>
  <si>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</t>
    </r>
    <r>
      <rPr>
        <b/>
        <sz val="8"/>
        <rFont val="Arial CE"/>
        <family val="2"/>
        <charset val="238"/>
      </rPr>
      <t>bez znaménka mínus</t>
    </r>
    <r>
      <rPr>
        <sz val="8"/>
        <rFont val="Arial CE"/>
        <family val="2"/>
        <charset val="23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</si>
  <si>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</si>
  <si>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</si>
  <si>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</si>
  <si>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23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</si>
  <si>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23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</si>
  <si>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</si>
  <si>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</si>
  <si>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</si>
  <si>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</si>
  <si>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</si>
  <si>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</si>
  <si>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</si>
  <si>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</si>
  <si>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</si>
  <si>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</si>
  <si>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</si>
  <si>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</si>
  <si>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</si>
  <si>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</si>
  <si>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charset val="23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</si>
  <si>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</si>
  <si>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</si>
  <si>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</si>
  <si>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</si>
  <si>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</si>
  <si>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</si>
  <si>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</si>
  <si>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23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</si>
  <si>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</si>
  <si>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</si>
  <si>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r>
      <t>05 DAP zpracoval a předkládá daňový poradce na základě plné moci k zastupování, která byla uplatněna u správce daně před uplynutím neprodloužené lhůty</t>
    </r>
    <r>
      <rPr>
        <vertAlign val="superscript"/>
        <sz val="8"/>
        <rFont val="Arial CE"/>
        <family val="2"/>
        <charset val="238"/>
      </rPr>
      <t>1)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</si>
  <si>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</si>
  <si>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</si>
  <si>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</si>
  <si>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</si>
  <si>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</si>
  <si>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</si>
  <si>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23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</si>
  <si>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</si>
  <si>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</si>
  <si>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</si>
  <si>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</si>
  <si>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</si>
  <si>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</si>
  <si>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</si>
  <si>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</si>
  <si>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</si>
  <si>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</si>
  <si>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</si>
  <si>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</si>
  <si>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</si>
  <si>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</si>
  <si>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</si>
  <si>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</si>
  <si>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</si>
  <si>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238"/>
      </rPr>
      <t>kladných</t>
    </r>
    <r>
      <rPr>
        <sz val="8"/>
        <rFont val="Arial CE"/>
        <charset val="238"/>
      </rPr>
      <t xml:space="preserve"> rozdílů jednotlivých druhů příjmů</t>
    </r>
  </si>
  <si>
    <t>Zajištěná daň plátcem podle § 38e zákona</t>
  </si>
  <si>
    <t>Titul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</si>
  <si>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</si>
  <si>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</si>
  <si>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</si>
  <si>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</si>
  <si>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</si>
  <si>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</si>
  <si>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Hlavní SVČ jsem vykonával/a v měsících</t>
  </si>
  <si>
    <t>Vedlejší SVČ jsem vykonával/a v měsících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</si>
  <si>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</si>
  <si>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</si>
  <si>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</si>
  <si>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</si>
  <si>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</si>
  <si>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</si>
  <si>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23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</si>
  <si>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23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</si>
  <si>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23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</si>
  <si>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23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</si>
  <si>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</si>
  <si>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</si>
  <si>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</si>
  <si>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</si>
  <si>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</si>
  <si>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</si>
  <si>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</si>
  <si>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</si>
  <si>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</si>
  <si>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</si>
  <si>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</si>
  <si>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</si>
  <si>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</si>
  <si>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</si>
  <si>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</si>
  <si>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</si>
  <si>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</si>
  <si>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</si>
  <si>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</si>
  <si>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</si>
  <si>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</si>
  <si>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</si>
  <si>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</si>
  <si>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</si>
  <si>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</si>
  <si>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</si>
  <si>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</si>
  <si>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</si>
  <si>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</si>
  <si>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</si>
  <si>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</si>
  <si>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</si>
  <si>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</si>
  <si>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</si>
  <si>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</si>
  <si>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</si>
  <si>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</si>
  <si>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</si>
  <si>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</si>
  <si>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</si>
  <si>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</si>
  <si>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</si>
  <si>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</si>
  <si>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</si>
  <si>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</si>
  <si>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</si>
  <si>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</si>
  <si>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</si>
  <si>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</si>
  <si>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</si>
  <si>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</si>
  <si>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</si>
  <si>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</si>
  <si>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</si>
  <si>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</si>
  <si>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</si>
  <si>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</si>
  <si>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</si>
  <si>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</si>
  <si>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</si>
  <si>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</si>
  <si>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</si>
  <si>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</si>
  <si>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</si>
  <si>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</si>
  <si>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</si>
  <si>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</si>
  <si>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</si>
  <si>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</si>
  <si>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</si>
  <si>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</si>
  <si>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</si>
  <si>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charset val="23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</si>
  <si>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</si>
  <si>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</si>
  <si>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</si>
  <si>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</si>
  <si>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</si>
  <si>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</si>
  <si>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</si>
  <si>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</si>
  <si>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</si>
  <si>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</si>
  <si>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</si>
  <si>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</si>
  <si>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</si>
  <si>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</si>
  <si>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</si>
  <si>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t>Rodné číslo 1. dítěte</t>
  </si>
  <si>
    <t>Rodné číslo 2. dítěte</t>
  </si>
  <si>
    <r>
      <t>E. Úpravy podle § 5, § 23 zákona</t>
    </r>
    <r>
      <rPr>
        <b/>
        <i/>
        <vertAlign val="superscript"/>
        <sz val="8"/>
        <rFont val="Arial CE"/>
        <family val="2"/>
        <charset val="238"/>
      </rPr>
      <t>2</t>
    </r>
    <r>
      <rPr>
        <b/>
        <i/>
        <sz val="8"/>
        <rFont val="Arial CE"/>
        <charset val="23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</si>
  <si>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</si>
  <si>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</si>
  <si>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238"/>
      </rPr>
      <t>2)</t>
    </r>
  </si>
  <si>
    <t>č.</t>
  </si>
  <si>
    <t>Kód banky</t>
  </si>
  <si>
    <t>specifický symbol</t>
  </si>
  <si>
    <t>Počet měsíců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</si>
  <si>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</si>
  <si>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</si>
  <si>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</si>
  <si>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</si>
  <si>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23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</si>
  <si>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</si>
  <si>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</si>
  <si>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23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</si>
  <si>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</si>
  <si>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</si>
  <si>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</si>
  <si>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</si>
  <si>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</si>
  <si>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</si>
  <si>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</si>
  <si>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</si>
  <si>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</si>
  <si>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</si>
  <si>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</si>
  <si>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</si>
  <si>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</si>
  <si>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</si>
  <si>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</si>
  <si>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</si>
  <si>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</si>
  <si>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</si>
  <si>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</si>
  <si>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</si>
  <si>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</si>
  <si>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</si>
  <si>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</si>
  <si>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</si>
  <si>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</si>
  <si>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</si>
  <si>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</si>
  <si>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</si>
  <si>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</si>
  <si>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</si>
  <si>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</si>
  <si>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</si>
  <si>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</si>
  <si>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</si>
  <si>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</si>
  <si>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</si>
  <si>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</si>
  <si>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</si>
  <si>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</si>
  <si>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23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</si>
  <si>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</si>
  <si>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</si>
  <si>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</si>
  <si>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</si>
  <si>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</si>
  <si>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23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</si>
  <si>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</si>
  <si>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</si>
  <si>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</si>
  <si>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</si>
  <si>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</si>
  <si>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</si>
  <si>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</si>
  <si>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</si>
  <si>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</si>
  <si>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</si>
  <si>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</si>
  <si>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</si>
  <si>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</si>
  <si>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</si>
  <si>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</si>
  <si>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</si>
  <si>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</si>
  <si>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</si>
  <si>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</si>
  <si>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</si>
  <si>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</si>
  <si>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</si>
  <si>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A. Základní identifikace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</si>
  <si>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</si>
  <si>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</si>
  <si>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</si>
  <si>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</si>
  <si>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</si>
  <si>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</si>
  <si>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</si>
  <si>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</si>
  <si>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</si>
  <si>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</si>
  <si>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</si>
  <si>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</si>
  <si>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</si>
  <si>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</si>
  <si>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</si>
  <si>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</si>
  <si>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</si>
  <si>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</si>
  <si>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</si>
  <si>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</si>
  <si>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</si>
  <si>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</si>
  <si>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</si>
  <si>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</si>
  <si>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</si>
  <si>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</si>
  <si>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</si>
  <si>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</si>
  <si>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</si>
  <si>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</si>
  <si>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</si>
  <si>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</si>
  <si>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</si>
  <si>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</si>
  <si>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</si>
  <si>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4</t>
  </si>
  <si>
    <t>Počet měsíců, ve kterých pro OSVČ platil minimální vyměřovací základ</t>
  </si>
  <si>
    <t>Řádek 6</t>
  </si>
  <si>
    <t>Řádek 9</t>
  </si>
  <si>
    <t>Řádek 16</t>
  </si>
  <si>
    <t>Řádek 41</t>
  </si>
  <si>
    <t xml:space="preserve">Přeplatek </t>
  </si>
  <si>
    <t>Řádek 51</t>
  </si>
  <si>
    <t>c) 0 Kč</t>
  </si>
  <si>
    <t>Podpis pojištěnce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</si>
  <si>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</si>
  <si>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</si>
  <si>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</si>
  <si>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</si>
  <si>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</si>
  <si>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</si>
  <si>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</si>
  <si>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</si>
  <si>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</si>
  <si>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</si>
  <si>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</si>
  <si>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</si>
  <si>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</si>
  <si>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</si>
  <si>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</si>
  <si>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</si>
  <si>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</si>
  <si>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</si>
  <si>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</si>
  <si>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</si>
  <si>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</si>
  <si>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</si>
  <si>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</si>
  <si>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</si>
  <si>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</si>
  <si>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</si>
  <si>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</si>
  <si>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</si>
  <si>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</si>
  <si>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</si>
  <si>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</si>
  <si>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</si>
  <si>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</si>
  <si>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</si>
  <si>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</si>
  <si>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</si>
  <si>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</si>
  <si>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</si>
  <si>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</si>
  <si>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</si>
  <si>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</si>
  <si>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</si>
  <si>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</si>
  <si>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</si>
  <si>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</si>
  <si>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</si>
  <si>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</si>
  <si>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</si>
  <si>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</si>
  <si>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</si>
  <si>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</si>
  <si>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</si>
  <si>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</si>
  <si>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</si>
  <si>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</si>
  <si>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</si>
  <si>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</si>
  <si>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</si>
  <si>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</si>
  <si>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</si>
  <si>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</si>
  <si>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</si>
  <si>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</si>
  <si>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</si>
  <si>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</si>
  <si>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</si>
  <si>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</si>
  <si>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</si>
  <si>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</si>
  <si>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</si>
  <si>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</si>
  <si>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</si>
  <si>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</si>
  <si>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</si>
  <si>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</si>
  <si>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</si>
  <si>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</si>
  <si>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</si>
  <si>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</si>
  <si>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</si>
  <si>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</si>
  <si>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</si>
  <si>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</si>
  <si>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</si>
  <si>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</si>
  <si>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</si>
  <si>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</si>
  <si>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</si>
  <si>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</si>
  <si>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</si>
  <si>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</si>
  <si>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</si>
  <si>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</si>
  <si>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</si>
  <si>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</si>
  <si>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</si>
  <si>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</si>
  <si>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</si>
  <si>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</si>
  <si>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</si>
  <si>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</si>
  <si>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</si>
  <si>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</si>
  <si>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</si>
  <si>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</si>
  <si>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</si>
  <si>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</si>
  <si>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</si>
  <si>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</si>
  <si>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</si>
  <si>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</si>
  <si>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</si>
  <si>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</si>
  <si>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</si>
  <si>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</si>
  <si>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</si>
  <si>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</si>
  <si>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</si>
  <si>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</si>
  <si>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</si>
  <si>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</si>
  <si>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</si>
  <si>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</si>
  <si>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</si>
  <si>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</si>
  <si>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</si>
  <si>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</si>
  <si>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</si>
  <si>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</si>
  <si>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</si>
  <si>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</si>
  <si>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</si>
  <si>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</si>
  <si>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</si>
  <si>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</si>
  <si>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</si>
  <si>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</si>
  <si>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</si>
  <si>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</si>
  <si>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</si>
  <si>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</si>
  <si>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</si>
  <si>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</si>
  <si>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</si>
  <si>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</si>
  <si>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</si>
  <si>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</si>
  <si>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</si>
  <si>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</si>
  <si>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</si>
  <si>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</si>
  <si>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</si>
  <si>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</si>
  <si>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</si>
  <si>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</si>
  <si>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</si>
  <si>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</si>
  <si>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</si>
  <si>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</si>
  <si>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</si>
  <si>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</si>
  <si>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</si>
  <si>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</si>
  <si>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</si>
  <si>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</si>
  <si>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</si>
  <si>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</si>
  <si>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</si>
  <si>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</si>
  <si>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</si>
  <si>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</si>
  <si>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</si>
  <si>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</si>
  <si>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</si>
  <si>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</si>
  <si>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</si>
  <si>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</si>
  <si>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</si>
  <si>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</si>
  <si>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</si>
  <si>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</si>
  <si>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</si>
  <si>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</si>
  <si>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</si>
  <si>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</si>
  <si>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</si>
  <si>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</si>
  <si>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</si>
  <si>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</si>
  <si>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</si>
  <si>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</si>
  <si>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</si>
  <si>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</si>
  <si>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</si>
  <si>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</si>
  <si>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</si>
  <si>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</si>
  <si>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</si>
  <si>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</si>
  <si>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</si>
  <si>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</si>
  <si>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</si>
  <si>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</si>
  <si>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</si>
  <si>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</si>
  <si>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</si>
  <si>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</si>
  <si>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</si>
  <si>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</si>
  <si>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</si>
  <si>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</si>
  <si>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</si>
  <si>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</si>
  <si>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</si>
  <si>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</si>
  <si>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</si>
  <si>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</si>
  <si>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</si>
  <si>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</si>
  <si>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</si>
  <si>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</si>
  <si>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</si>
  <si>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</si>
  <si>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</si>
  <si>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</si>
  <si>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</si>
  <si>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</si>
  <si>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</si>
  <si>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</si>
  <si>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</si>
  <si>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</si>
  <si>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</si>
  <si>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</si>
  <si>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</si>
  <si>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</si>
  <si>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</si>
  <si>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</si>
  <si>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</si>
  <si>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</si>
  <si>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</si>
  <si>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</si>
  <si>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</si>
  <si>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</si>
  <si>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</si>
  <si>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</si>
  <si>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</si>
  <si>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</si>
  <si>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</si>
  <si>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</si>
  <si>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</si>
  <si>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</si>
  <si>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</si>
  <si>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</si>
  <si>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</si>
  <si>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</si>
  <si>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</si>
  <si>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</si>
  <si>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</si>
  <si>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</si>
  <si>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</si>
  <si>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</si>
  <si>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</si>
  <si>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</si>
  <si>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</si>
  <si>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</si>
  <si>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</si>
  <si>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</si>
  <si>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</si>
  <si>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</si>
  <si>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</si>
  <si>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</si>
  <si>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</si>
  <si>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</si>
  <si>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</si>
  <si>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</si>
  <si>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</si>
  <si>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</si>
  <si>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</si>
  <si>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</si>
  <si>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</si>
  <si>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</si>
  <si>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</si>
  <si>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</si>
  <si>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</si>
  <si>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</si>
  <si>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</si>
  <si>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</si>
  <si>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</si>
  <si>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</si>
  <si>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</si>
  <si>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</si>
  <si>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</si>
  <si>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</si>
  <si>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</si>
  <si>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</si>
  <si>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</si>
  <si>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</si>
  <si>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</si>
  <si>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</si>
  <si>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</si>
  <si>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</si>
  <si>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</si>
  <si>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</si>
  <si>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</si>
  <si>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</si>
  <si>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</si>
  <si>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</si>
  <si>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</si>
  <si>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</si>
  <si>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</si>
  <si>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</si>
  <si>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</si>
  <si>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</si>
  <si>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</si>
  <si>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</si>
  <si>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</si>
  <si>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</si>
  <si>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</si>
  <si>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</si>
  <si>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</si>
  <si>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</si>
  <si>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</si>
  <si>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</si>
  <si>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</si>
  <si>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</si>
  <si>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</si>
  <si>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</si>
  <si>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</si>
  <si>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</si>
  <si>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</si>
  <si>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</si>
  <si>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</si>
  <si>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</si>
  <si>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</si>
  <si>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</si>
  <si>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</si>
  <si>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</si>
  <si>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</si>
  <si>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</si>
  <si>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</si>
  <si>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</si>
  <si>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</si>
  <si>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</si>
  <si>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</si>
  <si>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</si>
  <si>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</si>
  <si>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</si>
  <si>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</si>
  <si>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</si>
  <si>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</si>
  <si>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</si>
  <si>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</si>
  <si>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</si>
  <si>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</si>
  <si>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</si>
  <si>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</si>
  <si>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</si>
  <si>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</si>
  <si>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</si>
  <si>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</si>
  <si>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</si>
  <si>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</si>
  <si>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</si>
  <si>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</si>
  <si>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</si>
  <si>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</si>
  <si>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</si>
  <si>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</si>
  <si>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</si>
  <si>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</si>
  <si>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</si>
  <si>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</si>
  <si>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</si>
  <si>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</si>
  <si>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</si>
  <si>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</si>
  <si>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</si>
  <si>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</si>
  <si>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</si>
  <si>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</si>
  <si>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</si>
  <si>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</si>
  <si>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</si>
  <si>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</si>
  <si>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</si>
  <si>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</si>
  <si>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</si>
  <si>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</si>
  <si>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</si>
  <si>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</si>
  <si>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</si>
  <si>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</si>
  <si>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</si>
  <si>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</si>
  <si>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</si>
  <si>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</si>
  <si>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</si>
  <si>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</si>
  <si>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</si>
  <si>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</si>
  <si>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</si>
  <si>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</si>
  <si>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</si>
  <si>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</si>
  <si>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</si>
  <si>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</si>
  <si>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</si>
  <si>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</si>
  <si>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</si>
  <si>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</si>
  <si>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</si>
  <si>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</si>
  <si>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</si>
  <si>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</si>
  <si>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</si>
  <si>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</si>
  <si>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</si>
  <si>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</si>
  <si>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</si>
  <si>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</si>
  <si>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</si>
  <si>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</si>
  <si>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</si>
  <si>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</si>
  <si>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</si>
  <si>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</si>
  <si>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</si>
  <si>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</si>
  <si>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</si>
  <si>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</si>
  <si>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</si>
  <si>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</si>
  <si>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</si>
  <si>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</si>
  <si>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</si>
  <si>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</si>
  <si>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</si>
  <si>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</si>
  <si>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</si>
  <si>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</si>
  <si>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</si>
  <si>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</si>
  <si>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</si>
  <si>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</si>
  <si>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</si>
  <si>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</si>
  <si>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</si>
  <si>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</si>
  <si>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</si>
  <si>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</si>
  <si>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</si>
  <si>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</si>
  <si>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</si>
  <si>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</si>
  <si>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</si>
  <si>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</si>
  <si>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</si>
  <si>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</si>
  <si>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</si>
  <si>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</si>
  <si>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</si>
  <si>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</si>
  <si>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</si>
  <si>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</si>
  <si>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</si>
  <si>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</si>
  <si>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</si>
  <si>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</si>
  <si>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</si>
  <si>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</si>
  <si>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</si>
  <si>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</si>
  <si>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</si>
  <si>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</si>
  <si>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</si>
  <si>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</si>
  <si>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</si>
  <si>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</si>
  <si>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</si>
  <si>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</si>
  <si>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</si>
  <si>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</si>
  <si>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</si>
  <si>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</si>
  <si>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</si>
  <si>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</si>
  <si>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</si>
  <si>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</si>
  <si>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</si>
  <si>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</si>
  <si>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</si>
  <si>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</si>
  <si>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</si>
  <si>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</si>
  <si>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</si>
  <si>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</si>
  <si>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</si>
  <si>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</si>
  <si>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</si>
  <si>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</si>
  <si>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</si>
  <si>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</si>
  <si>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</si>
  <si>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</si>
  <si>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</si>
  <si>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</si>
  <si>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</si>
  <si>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</si>
  <si>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</si>
  <si>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</si>
  <si>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</si>
  <si>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</si>
  <si>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</si>
  <si>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</si>
  <si>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</si>
  <si>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</si>
  <si>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</si>
  <si>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</si>
  <si>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</si>
  <si>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</si>
  <si>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</si>
  <si>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</si>
  <si>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</si>
  <si>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</si>
  <si>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</si>
  <si>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</si>
  <si>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</si>
  <si>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</si>
  <si>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</si>
  <si>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</si>
  <si>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</si>
  <si>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</si>
  <si>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</si>
  <si>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</si>
  <si>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</si>
  <si>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</si>
  <si>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</si>
  <si>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</si>
  <si>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</si>
  <si>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</si>
  <si>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</si>
  <si>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</si>
  <si>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</si>
  <si>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</si>
  <si>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</si>
  <si>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</si>
  <si>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</si>
  <si>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</si>
  <si>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</si>
  <si>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</si>
  <si>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</si>
  <si>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</si>
  <si>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</si>
  <si>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</si>
  <si>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</si>
  <si>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</si>
  <si>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</si>
  <si>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</si>
  <si>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</si>
  <si>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</si>
  <si>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</si>
  <si>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</si>
  <si>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</si>
  <si>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</si>
  <si>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</si>
  <si>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</si>
  <si>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</si>
  <si>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</si>
  <si>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</si>
  <si>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</si>
  <si>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</si>
  <si>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</si>
  <si>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</si>
  <si>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</si>
  <si>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</si>
  <si>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</si>
  <si>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</si>
  <si>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</si>
  <si>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</si>
  <si>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</si>
  <si>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</si>
  <si>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</si>
  <si>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</si>
  <si>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</si>
  <si>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</si>
  <si>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</si>
  <si>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</si>
  <si>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</si>
  <si>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</si>
  <si>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</si>
  <si>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</si>
  <si>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</si>
  <si>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</si>
  <si>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</si>
  <si>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</si>
  <si>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</si>
  <si>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</si>
  <si>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</si>
  <si>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</si>
  <si>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</si>
  <si>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</si>
  <si>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</si>
  <si>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</si>
  <si>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</si>
  <si>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</si>
  <si>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</si>
  <si>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</si>
  <si>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</si>
  <si>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</si>
  <si>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</si>
  <si>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</si>
  <si>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</si>
  <si>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</si>
  <si>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</si>
  <si>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</si>
  <si>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</si>
  <si>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</si>
  <si>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</si>
  <si>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</si>
  <si>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</si>
  <si>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</si>
  <si>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</si>
  <si>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</si>
  <si>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</si>
  <si>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</si>
  <si>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</si>
  <si>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</si>
  <si>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</si>
  <si>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</si>
  <si>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</si>
  <si>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</si>
  <si>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</si>
  <si>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</si>
  <si>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</si>
  <si>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</si>
  <si>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</si>
  <si>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</si>
  <si>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</si>
  <si>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</si>
  <si>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</si>
  <si>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</si>
  <si>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</si>
  <si>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</si>
  <si>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</si>
  <si>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</si>
  <si>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</si>
  <si>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</si>
  <si>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</si>
  <si>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</si>
  <si>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</si>
  <si>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</si>
  <si>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</si>
  <si>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</si>
  <si>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</si>
  <si>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</si>
  <si>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</si>
  <si>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</si>
  <si>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</si>
  <si>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</si>
  <si>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</si>
  <si>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</si>
  <si>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</si>
  <si>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</si>
  <si>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</si>
  <si>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</si>
  <si>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</si>
  <si>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</si>
  <si>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</si>
  <si>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</si>
  <si>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</si>
  <si>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</si>
  <si>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</si>
  <si>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</si>
  <si>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</si>
  <si>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</si>
  <si>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</si>
  <si>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</si>
  <si>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</si>
  <si>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</si>
  <si>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</si>
  <si>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</si>
  <si>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</si>
  <si>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</si>
  <si>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</si>
  <si>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</si>
  <si>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</si>
  <si>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</si>
  <si>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</si>
  <si>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</si>
  <si>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</si>
  <si>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</si>
  <si>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</si>
  <si>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</si>
  <si>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</si>
  <si>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</si>
  <si>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</si>
  <si>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</si>
  <si>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</si>
  <si>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</si>
  <si>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</si>
  <si>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</si>
  <si>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</si>
  <si>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</si>
  <si>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</si>
  <si>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</si>
  <si>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</si>
  <si>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</si>
  <si>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</si>
  <si>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</si>
  <si>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</si>
  <si>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</si>
  <si>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</si>
  <si>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</si>
  <si>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</si>
  <si>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</si>
  <si>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</si>
  <si>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</si>
  <si>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</si>
  <si>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</si>
  <si>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</si>
  <si>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</si>
  <si>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</si>
  <si>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</si>
  <si>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</si>
  <si>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</si>
  <si>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</si>
  <si>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</si>
  <si>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</si>
  <si>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</si>
  <si>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</si>
  <si>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</si>
  <si>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</si>
  <si>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</si>
  <si>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</si>
  <si>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</si>
  <si>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</si>
  <si>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</si>
  <si>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</si>
  <si>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</si>
  <si>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</si>
  <si>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</si>
  <si>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</si>
  <si>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</si>
  <si>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</si>
  <si>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</si>
  <si>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</si>
  <si>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</si>
  <si>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</si>
  <si>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</si>
  <si>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</si>
  <si>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</si>
  <si>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</si>
  <si>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</si>
  <si>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</si>
  <si>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</si>
  <si>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</si>
  <si>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</si>
  <si>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</si>
  <si>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</si>
  <si>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</si>
  <si>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</si>
  <si>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</si>
  <si>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</si>
  <si>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</si>
  <si>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</si>
  <si>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</si>
  <si>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</si>
  <si>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</si>
  <si>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</si>
  <si>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</si>
  <si>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</si>
  <si>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</si>
  <si>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</si>
  <si>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</si>
  <si>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</si>
  <si>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</si>
  <si>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</si>
  <si>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</si>
  <si>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</si>
  <si>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</si>
  <si>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</si>
  <si>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</si>
  <si>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</si>
  <si>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</si>
  <si>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</si>
  <si>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</si>
  <si>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</si>
  <si>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</si>
  <si>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</si>
  <si>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</si>
  <si>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</si>
  <si>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</si>
  <si>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</si>
  <si>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</si>
  <si>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</si>
  <si>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</si>
  <si>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</si>
  <si>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</si>
  <si>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</si>
  <si>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</si>
  <si>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</si>
  <si>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</si>
  <si>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</si>
  <si>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</si>
  <si>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</si>
  <si>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</si>
  <si>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</si>
  <si>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</si>
  <si>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</si>
  <si>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</si>
  <si>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</si>
  <si>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</si>
  <si>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</si>
  <si>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</si>
  <si>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</si>
  <si>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</si>
  <si>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</si>
  <si>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</si>
  <si>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</si>
  <si>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</si>
  <si>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</si>
  <si>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</si>
  <si>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</si>
  <si>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</si>
  <si>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</si>
  <si>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</si>
  <si>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</si>
  <si>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</si>
  <si>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</si>
  <si>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</si>
  <si>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</si>
  <si>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</si>
  <si>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</si>
  <si>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</si>
  <si>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</si>
  <si>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</si>
  <si>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</si>
  <si>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</si>
  <si>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</si>
  <si>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</si>
  <si>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</si>
  <si>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</si>
  <si>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</si>
  <si>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</si>
  <si>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</si>
  <si>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</si>
  <si>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</si>
  <si>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</si>
  <si>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</si>
  <si>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</si>
  <si>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</si>
  <si>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</si>
  <si>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</si>
  <si>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</si>
  <si>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</si>
  <si>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</si>
  <si>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</si>
  <si>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</si>
  <si>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</si>
  <si>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</si>
  <si>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</si>
  <si>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</si>
  <si>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</si>
  <si>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</si>
  <si>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</si>
  <si>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</si>
  <si>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</si>
  <si>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</si>
  <si>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</si>
  <si>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</si>
  <si>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</si>
  <si>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</si>
  <si>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</si>
  <si>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</si>
  <si>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</si>
  <si>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</si>
  <si>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</si>
  <si>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</si>
  <si>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</si>
  <si>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</si>
  <si>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</si>
  <si>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</si>
  <si>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</si>
  <si>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</si>
  <si>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</si>
  <si>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</si>
  <si>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</si>
  <si>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</si>
  <si>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</si>
  <si>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</si>
  <si>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</si>
  <si>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</si>
  <si>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</si>
  <si>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</si>
  <si>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</si>
  <si>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</si>
  <si>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</si>
  <si>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</si>
  <si>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</si>
  <si>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</si>
  <si>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</si>
  <si>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</si>
  <si>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</si>
  <si>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</si>
  <si>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</si>
  <si>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</si>
  <si>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</si>
  <si>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</si>
  <si>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</si>
  <si>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</si>
  <si>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</si>
  <si>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</si>
  <si>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</si>
  <si>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</si>
  <si>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</si>
  <si>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</si>
  <si>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</si>
  <si>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</si>
  <si>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</si>
  <si>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</si>
  <si>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</si>
  <si>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</si>
  <si>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</si>
  <si>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</si>
  <si>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</si>
  <si>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</si>
  <si>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</si>
  <si>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</si>
  <si>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</si>
  <si>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</si>
  <si>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</si>
  <si>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</si>
  <si>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</si>
  <si>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</si>
  <si>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</si>
  <si>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</si>
  <si>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</si>
  <si>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</si>
  <si>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</si>
  <si>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</si>
  <si>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</si>
  <si>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</si>
  <si>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</si>
  <si>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</si>
  <si>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</si>
  <si>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</si>
  <si>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</si>
  <si>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</si>
  <si>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</si>
  <si>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</si>
  <si>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</si>
  <si>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</si>
  <si>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</si>
  <si>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</si>
  <si>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</si>
  <si>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</si>
  <si>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</si>
  <si>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</si>
  <si>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</si>
  <si>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</si>
  <si>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</si>
  <si>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</si>
  <si>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</si>
  <si>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</si>
  <si>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</si>
  <si>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</si>
  <si>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</si>
  <si>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</si>
  <si>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</si>
  <si>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</si>
  <si>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</si>
  <si>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</si>
  <si>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</si>
  <si>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</si>
  <si>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</si>
  <si>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</si>
  <si>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</si>
  <si>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</si>
  <si>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</si>
  <si>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</si>
  <si>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</si>
  <si>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</si>
  <si>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</si>
  <si>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</si>
  <si>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</si>
  <si>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</si>
  <si>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</si>
  <si>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</si>
  <si>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</si>
  <si>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</si>
  <si>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</si>
  <si>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</si>
  <si>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</si>
  <si>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</si>
  <si>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</si>
  <si>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</si>
  <si>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</si>
  <si>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</si>
  <si>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</si>
  <si>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</si>
  <si>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</si>
  <si>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</si>
  <si>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</si>
  <si>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</si>
  <si>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</si>
  <si>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</si>
  <si>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</si>
  <si>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</si>
  <si>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</si>
  <si>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</si>
  <si>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</si>
  <si>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</si>
  <si>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</si>
  <si>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</si>
  <si>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</si>
  <si>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</si>
  <si>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</si>
  <si>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</si>
  <si>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</si>
  <si>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</si>
  <si>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</si>
  <si>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</si>
  <si>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</si>
  <si>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</si>
  <si>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</si>
  <si>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</si>
  <si>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</si>
  <si>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</si>
  <si>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</si>
  <si>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</si>
  <si>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</si>
  <si>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</si>
  <si>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</si>
  <si>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</si>
  <si>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</si>
  <si>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</si>
  <si>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</si>
  <si>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</si>
  <si>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</si>
  <si>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</si>
  <si>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</si>
  <si>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</si>
  <si>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</si>
  <si>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</si>
  <si>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</si>
  <si>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</si>
  <si>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</si>
  <si>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</si>
  <si>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</si>
  <si>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</si>
  <si>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</si>
  <si>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</si>
  <si>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</si>
  <si>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</si>
  <si>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</si>
  <si>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</si>
  <si>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</si>
  <si>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</si>
  <si>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</si>
  <si>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</si>
  <si>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</si>
  <si>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</si>
  <si>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</si>
  <si>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</si>
  <si>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</si>
  <si>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</si>
  <si>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</si>
  <si>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</si>
  <si>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</si>
  <si>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</si>
  <si>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</si>
  <si>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</si>
  <si>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</si>
  <si>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</si>
  <si>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</si>
  <si>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</si>
  <si>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</si>
  <si>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</si>
  <si>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</si>
  <si>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</si>
  <si>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</si>
  <si>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</si>
  <si>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</si>
  <si>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</si>
  <si>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</si>
  <si>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</si>
  <si>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</si>
  <si>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</si>
  <si>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</si>
  <si>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</si>
  <si>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</si>
  <si>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</si>
  <si>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</si>
  <si>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</si>
  <si>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</si>
  <si>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</si>
  <si>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</si>
  <si>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</si>
  <si>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</si>
  <si>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</si>
  <si>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</si>
  <si>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</si>
  <si>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</si>
  <si>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</si>
  <si>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</si>
  <si>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</si>
  <si>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</si>
  <si>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</si>
  <si>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</si>
  <si>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</si>
  <si>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</si>
  <si>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</si>
  <si>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</si>
  <si>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</si>
  <si>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</si>
  <si>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</si>
  <si>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</si>
  <si>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</si>
  <si>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</si>
  <si>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</si>
  <si>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</si>
  <si>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</si>
  <si>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</si>
  <si>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</si>
  <si>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</si>
  <si>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</si>
  <si>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</si>
  <si>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</si>
  <si>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</si>
  <si>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</si>
  <si>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</si>
  <si>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</si>
  <si>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</si>
  <si>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</si>
  <si>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</si>
  <si>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</si>
  <si>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</si>
  <si>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</si>
  <si>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</si>
  <si>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</si>
  <si>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</si>
  <si>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</si>
  <si>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</si>
  <si>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</si>
  <si>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</si>
  <si>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</si>
  <si>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</si>
  <si>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</si>
  <si>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</si>
  <si>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</si>
  <si>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</si>
  <si>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</si>
  <si>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</si>
  <si>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</si>
  <si>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</si>
  <si>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</si>
  <si>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</si>
  <si>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</si>
  <si>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</si>
  <si>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</si>
  <si>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</si>
  <si>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</si>
  <si>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</si>
  <si>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</si>
  <si>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</si>
  <si>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</si>
  <si>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</si>
  <si>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</si>
  <si>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</si>
  <si>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</si>
  <si>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</si>
  <si>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</si>
  <si>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</si>
  <si>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</si>
  <si>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</si>
  <si>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</si>
  <si>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</si>
  <si>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</si>
  <si>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</si>
  <si>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</si>
  <si>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</si>
  <si>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</si>
  <si>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</si>
  <si>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</si>
  <si>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</si>
  <si>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</si>
  <si>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</si>
  <si>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</si>
  <si>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</si>
  <si>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</si>
  <si>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</si>
  <si>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</si>
  <si>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</si>
  <si>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</si>
  <si>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</si>
  <si>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</si>
  <si>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</si>
  <si>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</si>
  <si>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</si>
  <si>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</si>
  <si>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</si>
  <si>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</si>
  <si>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</si>
  <si>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</si>
  <si>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</si>
  <si>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</si>
  <si>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</si>
  <si>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</si>
  <si>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</si>
  <si>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</si>
  <si>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</si>
  <si>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</si>
  <si>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</si>
  <si>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</si>
  <si>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</si>
  <si>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</si>
  <si>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</si>
  <si>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</si>
  <si>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</si>
  <si>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</si>
  <si>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</si>
  <si>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</si>
  <si>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</si>
  <si>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</si>
  <si>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</si>
  <si>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</si>
  <si>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</si>
  <si>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</si>
  <si>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</si>
  <si>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</si>
  <si>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</si>
  <si>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</si>
  <si>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</si>
  <si>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</si>
  <si>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</si>
  <si>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</si>
  <si>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</si>
  <si>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</si>
  <si>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</si>
  <si>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</si>
  <si>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</si>
  <si>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</si>
  <si>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</si>
  <si>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</si>
  <si>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</si>
  <si>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</si>
  <si>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</si>
  <si>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</si>
  <si>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</si>
  <si>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</si>
  <si>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</si>
  <si>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</si>
  <si>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</si>
  <si>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</si>
  <si>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</si>
  <si>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</si>
  <si>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</si>
  <si>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</si>
  <si>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</si>
  <si>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</si>
  <si>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</si>
  <si>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</si>
  <si>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</si>
  <si>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</si>
  <si>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</si>
  <si>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</si>
  <si>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</si>
  <si>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</si>
  <si>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</si>
  <si>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</si>
  <si>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</si>
  <si>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</si>
  <si>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</si>
  <si>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</si>
  <si>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</si>
  <si>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</si>
  <si>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</si>
  <si>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</si>
  <si>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</si>
  <si>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</si>
  <si>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</si>
  <si>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</si>
  <si>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</si>
  <si>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</si>
  <si>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</si>
  <si>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</si>
  <si>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</si>
  <si>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</si>
  <si>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</si>
  <si>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</si>
  <si>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</si>
  <si>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</si>
  <si>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</si>
  <si>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</si>
  <si>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</si>
  <si>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</si>
  <si>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</si>
  <si>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</si>
  <si>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</si>
  <si>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</si>
  <si>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</si>
  <si>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</si>
  <si>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</si>
  <si>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</si>
  <si>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</si>
  <si>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</si>
  <si>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</si>
  <si>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</si>
  <si>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</si>
  <si>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</si>
  <si>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</si>
  <si>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</si>
  <si>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</si>
  <si>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</si>
  <si>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</si>
  <si>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</si>
  <si>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</si>
  <si>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</si>
  <si>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</si>
  <si>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</si>
  <si>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</si>
  <si>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</si>
  <si>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</si>
  <si>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</si>
  <si>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</si>
  <si>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</si>
  <si>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</si>
  <si>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</si>
  <si>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</si>
  <si>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</si>
  <si>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</si>
  <si>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</si>
  <si>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</si>
  <si>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</si>
  <si>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</si>
  <si>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</si>
  <si>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</si>
  <si>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</si>
  <si>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</si>
  <si>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</si>
  <si>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</si>
  <si>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</si>
  <si>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</si>
  <si>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</si>
  <si>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</si>
  <si>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</si>
  <si>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</si>
  <si>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</si>
  <si>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</si>
  <si>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</si>
  <si>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</si>
  <si>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</si>
  <si>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</si>
  <si>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</si>
  <si>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</si>
  <si>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</si>
  <si>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</si>
  <si>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</si>
  <si>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</si>
  <si>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</si>
  <si>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</si>
  <si>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</si>
  <si>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</si>
  <si>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</si>
  <si>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</si>
  <si>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</si>
  <si>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</si>
  <si>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</si>
  <si>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</si>
  <si>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</si>
  <si>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</si>
  <si>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</si>
  <si>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</si>
  <si>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</si>
  <si>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</si>
  <si>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</si>
  <si>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</si>
  <si>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</si>
  <si>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</si>
  <si>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</si>
  <si>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</si>
  <si>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</si>
  <si>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</si>
  <si>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</si>
  <si>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</si>
  <si>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</si>
  <si>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</si>
  <si>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</si>
  <si>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</si>
  <si>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</si>
  <si>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</si>
  <si>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</si>
  <si>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</si>
  <si>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</si>
  <si>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</si>
  <si>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</si>
  <si>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</si>
  <si>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</si>
  <si>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</si>
  <si>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</si>
  <si>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</si>
  <si>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</si>
  <si>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</si>
  <si>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</si>
  <si>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</si>
  <si>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</si>
  <si>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</si>
  <si>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</si>
  <si>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</si>
  <si>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</si>
  <si>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</si>
  <si>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</si>
  <si>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</si>
  <si>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</si>
  <si>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</si>
  <si>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</si>
  <si>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</si>
  <si>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</si>
  <si>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</si>
  <si>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</si>
  <si>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</si>
  <si>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</si>
  <si>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</si>
  <si>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</si>
  <si>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</si>
  <si>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</si>
  <si>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</si>
  <si>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</si>
  <si>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</si>
  <si>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</si>
  <si>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</si>
  <si>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</si>
  <si>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</si>
  <si>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</si>
  <si>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</si>
  <si>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</si>
  <si>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</si>
  <si>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</si>
  <si>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</si>
  <si>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</si>
  <si>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</si>
  <si>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</si>
  <si>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</si>
  <si>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</si>
  <si>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</si>
  <si>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</si>
  <si>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</si>
  <si>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</si>
  <si>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</si>
  <si>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</si>
  <si>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</si>
  <si>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</si>
  <si>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</si>
  <si>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</si>
  <si>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</si>
  <si>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</si>
  <si>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</si>
  <si>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</si>
  <si>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</si>
  <si>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</si>
  <si>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</si>
  <si>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</si>
  <si>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</si>
  <si>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</si>
  <si>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</si>
  <si>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</si>
  <si>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</si>
  <si>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</si>
  <si>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</si>
  <si>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</si>
  <si>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</si>
  <si>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</si>
  <si>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</si>
  <si>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</si>
  <si>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</si>
  <si>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</si>
  <si>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</si>
  <si>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</si>
  <si>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</si>
  <si>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</si>
  <si>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</si>
  <si>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</si>
  <si>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</si>
  <si>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</si>
  <si>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</si>
  <si>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</si>
  <si>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</si>
  <si>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</si>
  <si>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</si>
  <si>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</si>
  <si>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</si>
  <si>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</si>
  <si>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</si>
  <si>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</si>
  <si>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</si>
  <si>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</si>
  <si>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</si>
  <si>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</si>
  <si>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</si>
  <si>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</si>
  <si>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</si>
  <si>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</si>
  <si>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</si>
  <si>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</si>
  <si>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</si>
  <si>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</si>
  <si>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</si>
  <si>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</si>
  <si>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</si>
  <si>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</si>
  <si>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</si>
  <si>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</si>
  <si>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</si>
  <si>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</si>
  <si>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</si>
  <si>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</si>
  <si>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</si>
  <si>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</si>
  <si>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</si>
  <si>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</si>
  <si>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</si>
  <si>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</si>
  <si>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</si>
  <si>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</si>
  <si>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</si>
  <si>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</si>
  <si>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</si>
  <si>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</si>
  <si>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</si>
  <si>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</si>
  <si>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</si>
  <si>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</si>
  <si>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</si>
  <si>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</si>
  <si>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</si>
  <si>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</si>
  <si>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</si>
  <si>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</si>
  <si>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</si>
  <si>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</si>
  <si>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</si>
  <si>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</si>
  <si>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</si>
  <si>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</si>
  <si>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</si>
  <si>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</si>
  <si>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</si>
  <si>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</si>
  <si>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</si>
  <si>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</si>
  <si>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</si>
  <si>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</si>
  <si>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</si>
  <si>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</si>
  <si>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</si>
  <si>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</si>
  <si>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</si>
  <si>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</si>
  <si>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</si>
  <si>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</si>
  <si>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</si>
  <si>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</si>
  <si>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</si>
  <si>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</si>
  <si>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</si>
  <si>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</si>
  <si>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</si>
  <si>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</si>
  <si>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</si>
  <si>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</si>
  <si>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</si>
  <si>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</si>
  <si>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</si>
  <si>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</si>
  <si>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</si>
  <si>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</si>
  <si>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</si>
  <si>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</si>
  <si>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</si>
  <si>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</si>
  <si>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</si>
  <si>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</si>
  <si>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</si>
  <si>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</si>
  <si>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</si>
  <si>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</si>
  <si>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</si>
  <si>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</si>
  <si>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</si>
  <si>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</si>
  <si>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</si>
  <si>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</si>
  <si>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</si>
  <si>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</si>
  <si>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</si>
  <si>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</si>
  <si>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</si>
  <si>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</si>
  <si>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</si>
  <si>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</si>
  <si>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</si>
  <si>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</si>
  <si>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</si>
  <si>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</si>
  <si>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</si>
  <si>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</si>
  <si>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</si>
  <si>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</si>
  <si>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</si>
  <si>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</si>
  <si>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</si>
  <si>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</si>
  <si>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</si>
  <si>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</si>
  <si>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</si>
  <si>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</si>
  <si>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</si>
  <si>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</si>
  <si>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</si>
  <si>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</si>
  <si>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</si>
  <si>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</si>
  <si>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</si>
  <si>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</si>
  <si>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</si>
  <si>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</si>
  <si>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</si>
  <si>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</si>
  <si>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</si>
  <si>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</si>
  <si>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</si>
  <si>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</si>
  <si>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</si>
  <si>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</si>
  <si>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</si>
  <si>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</si>
  <si>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</si>
  <si>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</si>
  <si>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</si>
  <si>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</si>
  <si>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</si>
  <si>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</si>
  <si>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</si>
  <si>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</si>
  <si>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</si>
  <si>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</si>
  <si>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</si>
  <si>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</si>
  <si>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</si>
  <si>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</si>
  <si>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</si>
  <si>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</si>
  <si>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</si>
  <si>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</si>
  <si>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</si>
  <si>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</si>
  <si>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</si>
  <si>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</si>
  <si>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</si>
  <si>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</si>
  <si>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</si>
  <si>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</si>
  <si>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</si>
  <si>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</si>
  <si>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</si>
  <si>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</si>
  <si>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</si>
  <si>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</si>
  <si>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</si>
  <si>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</si>
  <si>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</si>
  <si>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</si>
  <si>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</si>
  <si>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</si>
  <si>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</si>
  <si>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</si>
  <si>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</si>
  <si>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</si>
  <si>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</si>
  <si>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</si>
  <si>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</si>
  <si>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</si>
  <si>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</si>
  <si>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</si>
  <si>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</si>
  <si>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</si>
  <si>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</si>
  <si>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</si>
  <si>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</si>
  <si>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</si>
  <si>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</si>
  <si>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</si>
  <si>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</si>
  <si>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</si>
  <si>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</si>
  <si>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</si>
  <si>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</si>
  <si>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</si>
  <si>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</si>
  <si>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</si>
  <si>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</si>
  <si>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</si>
  <si>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</si>
  <si>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</si>
  <si>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</si>
  <si>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</si>
  <si>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</si>
  <si>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</si>
  <si>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</si>
  <si>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</si>
  <si>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</si>
  <si>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</si>
  <si>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</si>
  <si>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</si>
  <si>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</si>
  <si>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</si>
  <si>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</si>
  <si>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</si>
  <si>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</si>
  <si>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</si>
  <si>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</si>
  <si>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</si>
  <si>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</si>
  <si>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</si>
  <si>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</si>
  <si>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</si>
  <si>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</si>
  <si>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</si>
  <si>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</si>
  <si>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</si>
  <si>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</si>
  <si>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</si>
  <si>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</si>
  <si>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</si>
  <si>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</si>
  <si>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</si>
  <si>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</si>
  <si>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</si>
  <si>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</si>
  <si>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</si>
  <si>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</si>
  <si>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</si>
  <si>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</si>
  <si>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</si>
  <si>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</si>
  <si>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</si>
  <si>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</si>
  <si>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</si>
  <si>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</si>
  <si>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</si>
  <si>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</si>
  <si>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</si>
  <si>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</si>
  <si>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</si>
  <si>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</si>
  <si>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</si>
  <si>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</si>
  <si>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</si>
  <si>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</si>
  <si>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</si>
  <si>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</si>
  <si>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</si>
  <si>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</si>
  <si>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</si>
  <si>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</si>
  <si>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</si>
  <si>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</si>
  <si>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</si>
  <si>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</si>
  <si>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</si>
  <si>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</si>
  <si>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</si>
  <si>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</si>
  <si>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</si>
  <si>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</si>
  <si>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</si>
  <si>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</si>
  <si>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</si>
  <si>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</si>
  <si>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</si>
  <si>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</si>
  <si>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</si>
  <si>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</si>
  <si>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</si>
  <si>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</si>
  <si>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</si>
  <si>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</si>
  <si>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</si>
  <si>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</si>
  <si>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</si>
  <si>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</si>
  <si>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</si>
  <si>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</si>
  <si>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</si>
  <si>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</si>
  <si>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</si>
  <si>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</si>
  <si>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</si>
  <si>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</si>
  <si>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</si>
  <si>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</si>
  <si>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</si>
  <si>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</si>
  <si>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</si>
  <si>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</si>
  <si>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</si>
  <si>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</si>
  <si>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</si>
  <si>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</si>
  <si>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</si>
  <si>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</si>
  <si>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</si>
  <si>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</si>
  <si>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</si>
  <si>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</si>
  <si>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</si>
  <si>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</si>
  <si>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</si>
  <si>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</si>
  <si>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</si>
  <si>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</si>
  <si>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</si>
  <si>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</si>
  <si>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</si>
  <si>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</si>
  <si>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</si>
  <si>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</si>
  <si>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</si>
  <si>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</si>
  <si>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</si>
  <si>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</si>
  <si>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</si>
  <si>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</si>
  <si>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</si>
  <si>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</si>
  <si>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</si>
  <si>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</si>
  <si>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</si>
  <si>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</si>
  <si>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</si>
  <si>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</si>
  <si>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</si>
  <si>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</si>
  <si>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</si>
  <si>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</si>
  <si>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</si>
  <si>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</si>
  <si>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</si>
  <si>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</si>
  <si>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</si>
  <si>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</si>
  <si>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</si>
  <si>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</si>
  <si>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</si>
  <si>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</si>
  <si>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</si>
  <si>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</si>
  <si>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</si>
  <si>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</si>
  <si>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</si>
  <si>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</si>
  <si>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</si>
  <si>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</si>
  <si>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</si>
  <si>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</si>
  <si>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</si>
  <si>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</si>
  <si>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</si>
  <si>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</si>
  <si>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</si>
  <si>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</si>
  <si>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</si>
  <si>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</si>
  <si>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</si>
  <si>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</si>
  <si>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</si>
  <si>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</si>
  <si>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</si>
  <si>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</si>
  <si>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</si>
  <si>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</si>
  <si>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</si>
  <si>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</si>
  <si>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</si>
  <si>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</si>
  <si>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</si>
  <si>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</si>
  <si>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</si>
  <si>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</si>
  <si>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</si>
  <si>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</si>
  <si>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</si>
  <si>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</si>
  <si>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</si>
  <si>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</si>
  <si>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</si>
  <si>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</si>
  <si>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</si>
  <si>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</si>
  <si>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</si>
  <si>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</si>
  <si>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</si>
  <si>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</si>
  <si>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</si>
  <si>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</si>
  <si>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</si>
  <si>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</si>
  <si>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</si>
  <si>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</si>
  <si>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</si>
  <si>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</si>
  <si>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</si>
  <si>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</si>
  <si>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</si>
  <si>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</si>
  <si>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</si>
  <si>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</si>
  <si>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</si>
  <si>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</si>
  <si>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</si>
  <si>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</si>
  <si>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</si>
  <si>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</si>
  <si>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</si>
  <si>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</si>
  <si>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</si>
  <si>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</si>
  <si>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</si>
  <si>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</si>
  <si>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</si>
  <si>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</si>
  <si>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</si>
  <si>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</si>
  <si>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</si>
  <si>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</si>
  <si>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</si>
  <si>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</si>
  <si>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</si>
  <si>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</si>
  <si>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</si>
  <si>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</si>
  <si>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</si>
  <si>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</si>
  <si>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</si>
  <si>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</si>
  <si>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</si>
  <si>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</si>
  <si>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</si>
  <si>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</si>
  <si>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</si>
  <si>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</si>
  <si>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</si>
  <si>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</si>
  <si>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</si>
  <si>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</si>
  <si>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</si>
  <si>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</si>
  <si>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</si>
  <si>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</si>
  <si>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</si>
  <si>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</si>
  <si>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</si>
  <si>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</si>
  <si>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</si>
  <si>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</si>
  <si>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</si>
  <si>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</si>
  <si>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</si>
  <si>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</si>
  <si>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</si>
  <si>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</si>
  <si>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</si>
  <si>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</si>
  <si>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</si>
  <si>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</si>
  <si>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</si>
  <si>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</si>
  <si>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</si>
  <si>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</si>
  <si>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</si>
  <si>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</si>
  <si>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</si>
  <si>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</si>
  <si>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</si>
  <si>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</si>
  <si>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</si>
  <si>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</si>
  <si>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</si>
  <si>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</si>
  <si>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</si>
  <si>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</si>
  <si>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</si>
  <si>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</si>
  <si>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</si>
  <si>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</si>
  <si>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</si>
  <si>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</si>
  <si>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</si>
  <si>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</si>
  <si>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</si>
  <si>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</si>
  <si>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</si>
  <si>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</si>
  <si>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</si>
  <si>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</si>
  <si>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</si>
  <si>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</si>
  <si>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</si>
  <si>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</si>
  <si>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</si>
  <si>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</si>
  <si>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</si>
  <si>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</si>
  <si>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</si>
  <si>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</si>
  <si>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</si>
  <si>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</si>
  <si>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</si>
  <si>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</si>
  <si>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</si>
  <si>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</si>
  <si>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</si>
  <si>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</si>
  <si>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</si>
  <si>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</si>
  <si>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</si>
  <si>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</si>
  <si>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</si>
  <si>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</si>
  <si>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</si>
  <si>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</si>
  <si>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</si>
  <si>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</si>
  <si>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</si>
  <si>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</si>
  <si>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</si>
  <si>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</si>
  <si>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</si>
  <si>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</si>
  <si>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</si>
  <si>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</si>
  <si>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</si>
  <si>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</si>
  <si>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</si>
  <si>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</si>
  <si>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</si>
  <si>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</si>
  <si>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</si>
  <si>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</si>
  <si>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</si>
  <si>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</si>
  <si>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</si>
  <si>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</si>
  <si>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</si>
  <si>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</si>
  <si>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</si>
  <si>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</si>
  <si>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</si>
  <si>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</si>
  <si>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</si>
  <si>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</si>
  <si>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</si>
  <si>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</si>
  <si>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</si>
  <si>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</si>
  <si>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</si>
  <si>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</si>
  <si>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</si>
  <si>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</si>
  <si>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</si>
  <si>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</si>
  <si>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</si>
  <si>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</si>
  <si>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</si>
  <si>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</si>
  <si>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</si>
  <si>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</si>
  <si>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</si>
  <si>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</si>
  <si>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</si>
  <si>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</si>
  <si>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</si>
  <si>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</si>
  <si>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</si>
  <si>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</si>
  <si>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</si>
  <si>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</si>
  <si>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</si>
  <si>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</si>
  <si>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</si>
  <si>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</si>
  <si>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</si>
  <si>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</si>
  <si>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</si>
  <si>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</si>
  <si>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</si>
  <si>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</si>
  <si>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</si>
  <si>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</si>
  <si>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</si>
  <si>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</si>
  <si>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</si>
  <si>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</si>
  <si>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</si>
  <si>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</si>
  <si>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</si>
  <si>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</si>
  <si>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</si>
  <si>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</si>
  <si>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</si>
  <si>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</si>
  <si>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</si>
  <si>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</si>
  <si>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</si>
  <si>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</si>
  <si>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</si>
  <si>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</si>
  <si>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</si>
  <si>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</si>
  <si>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</si>
  <si>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</si>
  <si>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</si>
  <si>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</si>
  <si>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</si>
  <si>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</si>
  <si>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</si>
  <si>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</si>
  <si>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</si>
  <si>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</si>
  <si>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</si>
  <si>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</si>
  <si>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</si>
  <si>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</si>
  <si>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</si>
  <si>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</si>
  <si>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</si>
  <si>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</si>
  <si>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</si>
  <si>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</si>
  <si>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</si>
  <si>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</si>
  <si>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</si>
  <si>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</si>
  <si>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</si>
  <si>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</si>
  <si>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</si>
  <si>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</si>
  <si>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</si>
  <si>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</si>
  <si>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</si>
  <si>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</si>
  <si>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</si>
  <si>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</si>
  <si>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</si>
  <si>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</si>
  <si>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</si>
  <si>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</si>
  <si>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</si>
  <si>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</si>
  <si>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</si>
  <si>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</si>
  <si>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</si>
  <si>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</si>
  <si>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</si>
  <si>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</si>
  <si>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</si>
  <si>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</si>
  <si>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</si>
  <si>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</si>
  <si>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</si>
  <si>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</si>
  <si>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</si>
  <si>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</si>
  <si>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</si>
  <si>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</si>
  <si>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</si>
  <si>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</si>
  <si>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</si>
  <si>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</si>
  <si>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</si>
  <si>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</si>
  <si>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</si>
  <si>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</si>
  <si>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</si>
  <si>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</si>
  <si>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</si>
  <si>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</si>
  <si>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</si>
  <si>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</si>
  <si>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</si>
  <si>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</si>
  <si>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</si>
  <si>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</si>
  <si>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</si>
  <si>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</si>
  <si>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</si>
  <si>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</si>
  <si>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</si>
  <si>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</si>
  <si>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</si>
  <si>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</si>
  <si>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</si>
  <si>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</si>
  <si>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</si>
  <si>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</si>
  <si>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</si>
  <si>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</si>
  <si>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</si>
  <si>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</si>
  <si>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</si>
  <si>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</si>
  <si>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</si>
  <si>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</si>
  <si>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</si>
  <si>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</si>
  <si>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</si>
  <si>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</si>
  <si>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</si>
  <si>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</si>
  <si>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</si>
  <si>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</si>
  <si>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</si>
  <si>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</si>
  <si>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</si>
  <si>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</si>
  <si>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</si>
  <si>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</si>
  <si>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</si>
  <si>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</si>
  <si>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</si>
  <si>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</si>
  <si>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</si>
  <si>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</si>
  <si>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</si>
  <si>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</si>
  <si>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</si>
  <si>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</si>
  <si>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</si>
  <si>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</si>
  <si>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</si>
  <si>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</si>
  <si>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</si>
  <si>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</si>
  <si>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</si>
  <si>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</si>
  <si>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</si>
  <si>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</si>
  <si>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</si>
  <si>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</si>
  <si>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</si>
  <si>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</si>
  <si>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</si>
  <si>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</si>
  <si>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</si>
  <si>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</si>
  <si>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</si>
  <si>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</si>
  <si>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</si>
  <si>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</si>
  <si>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</si>
  <si>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</si>
  <si>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</si>
  <si>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</si>
  <si>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</si>
  <si>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</si>
  <si>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</si>
  <si>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</si>
  <si>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</si>
  <si>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</si>
  <si>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</si>
  <si>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</si>
  <si>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</si>
  <si>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</si>
  <si>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</si>
  <si>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</si>
  <si>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</si>
  <si>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</si>
  <si>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</si>
  <si>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</si>
  <si>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</si>
  <si>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</si>
  <si>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</si>
  <si>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</si>
  <si>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</si>
  <si>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</si>
  <si>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</si>
  <si>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</si>
  <si>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</si>
  <si>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</si>
  <si>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</si>
  <si>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</si>
  <si>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</si>
  <si>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</si>
  <si>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</si>
  <si>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</si>
  <si>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</si>
  <si>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</si>
  <si>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</si>
  <si>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</si>
  <si>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</si>
  <si>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</si>
  <si>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</si>
  <si>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</si>
  <si>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</si>
  <si>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</si>
  <si>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</si>
  <si>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</si>
  <si>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</si>
  <si>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</si>
  <si>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</si>
  <si>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</si>
  <si>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</si>
  <si>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</si>
  <si>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</si>
  <si>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</si>
  <si>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</si>
  <si>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</si>
  <si>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</si>
  <si>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</si>
  <si>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</si>
  <si>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</si>
  <si>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</si>
  <si>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</si>
  <si>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</si>
  <si>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</si>
  <si>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</si>
  <si>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</si>
  <si>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</si>
  <si>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</si>
  <si>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</si>
  <si>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</si>
  <si>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</si>
  <si>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</si>
  <si>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</si>
  <si>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</si>
  <si>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</si>
  <si>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</si>
  <si>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</si>
  <si>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</si>
  <si>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</si>
  <si>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</si>
  <si>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</si>
  <si>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</si>
  <si>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</si>
  <si>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</si>
  <si>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</si>
  <si>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</si>
  <si>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</si>
  <si>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</si>
  <si>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</si>
  <si>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</si>
  <si>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</si>
  <si>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</si>
  <si>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</si>
  <si>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</si>
  <si>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</si>
  <si>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</si>
  <si>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</si>
  <si>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</si>
  <si>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</si>
  <si>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</si>
  <si>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</si>
  <si>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</si>
  <si>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</si>
  <si>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</si>
  <si>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</si>
  <si>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</si>
  <si>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</si>
  <si>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</si>
  <si>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</si>
  <si>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</si>
  <si>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</si>
  <si>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</si>
  <si>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</si>
  <si>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</si>
  <si>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</si>
  <si>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</si>
  <si>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</si>
  <si>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</si>
  <si>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</si>
  <si>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</si>
  <si>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</si>
  <si>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</si>
  <si>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</si>
  <si>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</si>
  <si>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</si>
  <si>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</si>
  <si>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</si>
  <si>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</si>
  <si>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</si>
  <si>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</si>
  <si>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</si>
  <si>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</si>
  <si>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</si>
  <si>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</si>
  <si>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</si>
  <si>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</si>
  <si>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</si>
  <si>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</si>
  <si>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</si>
  <si>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</si>
  <si>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</si>
  <si>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</si>
  <si>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</si>
  <si>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</si>
  <si>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</si>
  <si>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</si>
  <si>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</si>
  <si>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</si>
  <si>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</si>
  <si>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</si>
  <si>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</si>
  <si>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</si>
  <si>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</si>
  <si>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</si>
  <si>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</si>
  <si>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</si>
  <si>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</si>
  <si>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</si>
  <si>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</si>
  <si>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</si>
  <si>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</si>
  <si>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</si>
  <si>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</si>
  <si>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</si>
  <si>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</si>
  <si>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</si>
  <si>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</si>
  <si>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</si>
  <si>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</si>
  <si>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</si>
  <si>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</si>
  <si>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</si>
  <si>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</si>
  <si>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</si>
  <si>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</si>
  <si>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</si>
  <si>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</si>
  <si>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</si>
  <si>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</si>
  <si>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</si>
  <si>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</si>
  <si>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</si>
  <si>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</si>
  <si>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</si>
  <si>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</si>
  <si>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</si>
  <si>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</si>
  <si>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</si>
  <si>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</si>
  <si>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</si>
  <si>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</si>
  <si>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</si>
  <si>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</si>
  <si>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</si>
  <si>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</si>
  <si>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</si>
  <si>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</si>
  <si>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</si>
  <si>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</si>
  <si>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</si>
  <si>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</si>
  <si>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</si>
  <si>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</si>
  <si>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</si>
  <si>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</si>
  <si>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</si>
  <si>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</si>
  <si>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</si>
  <si>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</si>
  <si>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</si>
  <si>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</si>
  <si>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</si>
  <si>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</si>
  <si>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</si>
  <si>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</si>
  <si>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</si>
  <si>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</si>
  <si>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</si>
  <si>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</si>
  <si>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</si>
  <si>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</si>
  <si>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</si>
  <si>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</si>
  <si>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</si>
  <si>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</si>
  <si>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</si>
  <si>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</si>
  <si>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</si>
  <si>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</si>
  <si>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</si>
  <si>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</si>
  <si>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</si>
  <si>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</si>
  <si>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</si>
  <si>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</si>
  <si>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</si>
  <si>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</si>
  <si>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</si>
  <si>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</si>
  <si>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</si>
  <si>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</si>
  <si>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</si>
  <si>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</si>
  <si>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</si>
  <si>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</si>
  <si>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</si>
  <si>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</si>
  <si>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</si>
  <si>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</si>
  <si>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</si>
  <si>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</si>
  <si>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</si>
  <si>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</si>
  <si>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</si>
  <si>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</si>
  <si>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</si>
  <si>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</si>
  <si>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</si>
  <si>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</si>
  <si>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</si>
  <si>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</si>
  <si>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</si>
  <si>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</si>
  <si>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</si>
  <si>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</si>
  <si>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</si>
  <si>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</si>
  <si>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</si>
  <si>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</si>
  <si>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</si>
  <si>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</si>
  <si>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</si>
  <si>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</si>
  <si>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</si>
  <si>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</si>
  <si>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</si>
  <si>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</si>
  <si>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</si>
  <si>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</si>
  <si>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</si>
  <si>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</si>
  <si>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</si>
  <si>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</si>
  <si>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</si>
  <si>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</si>
  <si>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</si>
  <si>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</si>
  <si>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</si>
  <si>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</si>
  <si>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</si>
  <si>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</si>
  <si>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</si>
  <si>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</si>
  <si>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</si>
  <si>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</si>
  <si>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</si>
  <si>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</si>
  <si>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</si>
  <si>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</si>
  <si>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</si>
  <si>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</si>
  <si>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</si>
  <si>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</si>
  <si>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</si>
  <si>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</si>
  <si>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</si>
  <si>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</si>
  <si>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</si>
  <si>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</si>
  <si>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</si>
  <si>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</si>
  <si>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</si>
  <si>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</si>
  <si>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</si>
  <si>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</si>
  <si>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</si>
  <si>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</si>
  <si>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</si>
  <si>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</si>
  <si>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</si>
  <si>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</si>
  <si>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</si>
  <si>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</si>
  <si>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</si>
  <si>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</si>
  <si>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</si>
  <si>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</si>
  <si>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</si>
  <si>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</si>
  <si>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</si>
  <si>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</si>
  <si>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</si>
  <si>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</si>
  <si>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</si>
  <si>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</si>
  <si>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</si>
  <si>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</si>
  <si>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</si>
  <si>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</si>
  <si>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</si>
  <si>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</si>
  <si>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</si>
  <si>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</si>
  <si>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</si>
  <si>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</si>
  <si>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</si>
  <si>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</si>
  <si>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</si>
  <si>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</si>
  <si>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</si>
  <si>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</si>
  <si>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</si>
  <si>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</si>
  <si>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</si>
  <si>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</si>
  <si>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</si>
  <si>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</si>
  <si>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</si>
  <si>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</si>
  <si>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</si>
  <si>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</si>
  <si>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</si>
  <si>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</si>
  <si>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</si>
  <si>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</si>
  <si>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</si>
  <si>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</si>
  <si>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</si>
  <si>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</si>
  <si>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</si>
  <si>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</si>
  <si>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</si>
  <si>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</si>
  <si>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</si>
  <si>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</si>
  <si>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</si>
  <si>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</si>
  <si>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</si>
  <si>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</si>
  <si>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</si>
  <si>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</si>
  <si>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</si>
  <si>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</si>
  <si>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</si>
  <si>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</si>
  <si>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</si>
  <si>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</si>
  <si>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</si>
  <si>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</si>
  <si>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</si>
  <si>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</si>
  <si>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</si>
  <si>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</si>
  <si>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</si>
  <si>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</si>
  <si>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</si>
  <si>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</si>
  <si>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</si>
  <si>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</si>
  <si>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</si>
  <si>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</si>
  <si>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</si>
  <si>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</si>
  <si>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</si>
  <si>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</si>
  <si>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</si>
  <si>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</si>
  <si>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</si>
  <si>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</si>
  <si>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</si>
  <si>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</si>
  <si>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</si>
  <si>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</si>
  <si>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</si>
  <si>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</si>
  <si>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</si>
  <si>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</si>
  <si>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</si>
  <si>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</si>
  <si>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</si>
  <si>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</si>
  <si>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</si>
  <si>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</si>
  <si>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</si>
  <si>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</si>
  <si>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</si>
  <si>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</si>
  <si>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</si>
  <si>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</si>
  <si>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</si>
  <si>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</si>
  <si>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</si>
  <si>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</si>
  <si>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</si>
  <si>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</si>
  <si>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</si>
  <si>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</si>
  <si>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</si>
  <si>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</si>
  <si>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</si>
  <si>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</si>
  <si>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</si>
  <si>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</si>
  <si>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</si>
  <si>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</si>
  <si>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</si>
  <si>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</si>
  <si>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</si>
  <si>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</si>
  <si>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</si>
  <si>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</si>
  <si>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</si>
  <si>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</si>
  <si>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</si>
  <si>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</si>
  <si>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</si>
  <si>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</si>
  <si>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</si>
  <si>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</si>
  <si>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</si>
  <si>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</si>
  <si>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</si>
  <si>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</si>
  <si>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</si>
  <si>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</si>
  <si>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</si>
  <si>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</si>
  <si>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</si>
  <si>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</si>
  <si>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</si>
  <si>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</si>
  <si>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</si>
  <si>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</si>
  <si>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</si>
  <si>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</si>
  <si>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</si>
  <si>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</si>
  <si>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</si>
  <si>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</si>
  <si>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</si>
  <si>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</si>
  <si>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</si>
  <si>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</si>
  <si>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</si>
  <si>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</si>
  <si>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</si>
  <si>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</si>
  <si>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</si>
  <si>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</si>
  <si>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</si>
  <si>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</si>
  <si>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</si>
  <si>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</si>
  <si>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</si>
  <si>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</si>
  <si>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</si>
  <si>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</si>
  <si>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</si>
  <si>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</si>
  <si>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</si>
  <si>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</si>
  <si>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</si>
  <si>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</si>
  <si>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</si>
  <si>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</si>
  <si>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</si>
  <si>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</si>
  <si>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</si>
  <si>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</si>
  <si>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</si>
  <si>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</si>
  <si>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</si>
  <si>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</si>
  <si>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</si>
  <si>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</si>
  <si>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</si>
  <si>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</si>
  <si>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</si>
  <si>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</si>
  <si>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</si>
  <si>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</si>
  <si>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</si>
  <si>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</si>
  <si>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</si>
  <si>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</si>
  <si>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</si>
  <si>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</si>
  <si>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</si>
  <si>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</si>
  <si>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</si>
  <si>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</si>
  <si>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</si>
  <si>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</si>
  <si>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</si>
  <si>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</si>
  <si>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</si>
  <si>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</si>
  <si>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</si>
  <si>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</si>
  <si>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</si>
  <si>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</si>
  <si>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</si>
  <si>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</si>
  <si>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</si>
  <si>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</si>
  <si>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</si>
  <si>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</si>
  <si>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</si>
  <si>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</si>
  <si>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</si>
  <si>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</si>
  <si>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</si>
  <si>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</si>
  <si>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</si>
  <si>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</si>
  <si>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</si>
  <si>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</si>
  <si>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</si>
  <si>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</si>
  <si>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</si>
  <si>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</si>
  <si>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</si>
  <si>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</si>
  <si>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</si>
  <si>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</si>
  <si>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</si>
  <si>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</si>
  <si>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</si>
  <si>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</si>
  <si>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</si>
  <si>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</si>
  <si>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</si>
  <si>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</si>
  <si>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</si>
  <si>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</si>
  <si>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</si>
  <si>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</si>
  <si>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</si>
  <si>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</si>
  <si>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</si>
  <si>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</si>
  <si>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</si>
  <si>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</si>
  <si>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</si>
  <si>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</si>
  <si>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</si>
  <si>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</si>
  <si>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</si>
  <si>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</si>
  <si>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</si>
  <si>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</si>
  <si>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</si>
  <si>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</si>
  <si>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</si>
  <si>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</si>
  <si>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</si>
  <si>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</si>
  <si>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</si>
  <si>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</si>
  <si>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</si>
  <si>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</si>
  <si>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</si>
  <si>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</si>
  <si>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</si>
  <si>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</si>
  <si>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</si>
  <si>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</si>
  <si>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</si>
  <si>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</si>
  <si>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</si>
  <si>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</si>
  <si>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</si>
  <si>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</si>
  <si>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</si>
  <si>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</si>
  <si>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</si>
  <si>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</si>
  <si>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</si>
  <si>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</si>
  <si>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</si>
  <si>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</si>
  <si>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</si>
  <si>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</si>
  <si>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</si>
  <si>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</si>
  <si>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</si>
  <si>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</si>
  <si>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</si>
  <si>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</si>
  <si>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</si>
  <si>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</si>
  <si>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</si>
  <si>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</si>
  <si>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</si>
  <si>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</si>
  <si>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</si>
  <si>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</si>
  <si>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</si>
  <si>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</si>
  <si>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</si>
  <si>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</si>
  <si>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</si>
  <si>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</si>
  <si>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</si>
  <si>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</si>
  <si>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</si>
  <si>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</si>
  <si>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</si>
  <si>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</si>
  <si>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</si>
  <si>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</si>
  <si>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</si>
  <si>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</si>
  <si>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</si>
  <si>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</si>
  <si>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</si>
  <si>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</si>
  <si>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</si>
  <si>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</si>
  <si>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</si>
  <si>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</si>
  <si>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</si>
  <si>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</si>
  <si>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</si>
  <si>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</si>
  <si>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</si>
  <si>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</si>
  <si>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</si>
  <si>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</si>
  <si>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</si>
  <si>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</si>
  <si>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</si>
  <si>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</si>
  <si>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</si>
  <si>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</si>
  <si>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</si>
  <si>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</si>
  <si>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</si>
  <si>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</si>
  <si>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</si>
  <si>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</si>
  <si>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</si>
  <si>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</si>
  <si>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</si>
  <si>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</si>
  <si>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</si>
  <si>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</si>
  <si>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</si>
  <si>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</si>
  <si>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</si>
  <si>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</si>
  <si>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</si>
  <si>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</si>
  <si>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</si>
  <si>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</si>
  <si>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</si>
  <si>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</si>
  <si>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</si>
  <si>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</si>
  <si>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</si>
  <si>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</si>
  <si>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</si>
  <si>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</si>
  <si>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</si>
  <si>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</si>
  <si>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</si>
  <si>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</si>
  <si>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</si>
  <si>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</si>
  <si>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</si>
  <si>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</si>
  <si>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</si>
  <si>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</si>
  <si>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</si>
  <si>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</si>
  <si>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</si>
  <si>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</si>
  <si>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</si>
  <si>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</si>
  <si>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</si>
  <si>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</si>
  <si>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</si>
  <si>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</si>
  <si>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</si>
  <si>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</si>
  <si>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</si>
  <si>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</si>
  <si>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</si>
  <si>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</si>
  <si>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</si>
  <si>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</si>
  <si>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</si>
  <si>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</si>
  <si>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</si>
  <si>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</si>
  <si>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</si>
  <si>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</si>
  <si>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</si>
  <si>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</si>
  <si>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</si>
  <si>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</si>
  <si>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</si>
  <si>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</si>
  <si>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</si>
  <si>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</si>
  <si>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</si>
  <si>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</si>
  <si>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</si>
  <si>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</si>
  <si>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</si>
  <si>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</si>
  <si>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</si>
  <si>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</si>
  <si>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</si>
  <si>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</si>
  <si>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</si>
  <si>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</si>
  <si>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</si>
  <si>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</si>
  <si>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</si>
  <si>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</si>
  <si>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</si>
  <si>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</si>
  <si>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</si>
  <si>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</si>
  <si>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</si>
  <si>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</si>
  <si>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</si>
  <si>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</si>
  <si>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</si>
  <si>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</si>
  <si>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</si>
  <si>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</si>
  <si>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</si>
  <si>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</si>
  <si>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</si>
  <si>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</si>
  <si>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</si>
  <si>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</si>
  <si>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</si>
  <si>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</si>
  <si>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</si>
  <si>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</si>
  <si>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</si>
  <si>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</si>
  <si>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</si>
  <si>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</si>
  <si>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</si>
  <si>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</si>
  <si>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</si>
  <si>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</si>
  <si>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</si>
  <si>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</si>
  <si>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</si>
  <si>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</si>
  <si>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</si>
  <si>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</si>
  <si>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</si>
  <si>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</si>
  <si>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</si>
  <si>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</si>
  <si>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</si>
  <si>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</si>
  <si>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</si>
  <si>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</si>
  <si>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</si>
  <si>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</si>
  <si>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</si>
  <si>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</si>
  <si>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</si>
  <si>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</si>
  <si>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</si>
  <si>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</si>
  <si>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</si>
  <si>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</si>
  <si>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</si>
  <si>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</si>
  <si>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</si>
  <si>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</si>
  <si>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</si>
  <si>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</si>
  <si>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</si>
  <si>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</si>
  <si>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</si>
  <si>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</si>
  <si>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</si>
  <si>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</si>
  <si>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</si>
  <si>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</si>
  <si>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</si>
  <si>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</si>
  <si>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</si>
  <si>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</si>
  <si>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</si>
  <si>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charset val="238"/>
      </rPr>
      <t>vyplnit standardním způsobem</t>
    </r>
    <r>
      <rPr>
        <sz val="11"/>
        <rFont val="Arial CE"/>
        <charset val="238"/>
      </rPr>
      <t xml:space="preserve"> ve všech položkách, které se běžně při daňovém přiznání tohoto typu vyplňují.</t>
    </r>
  </si>
  <si>
    <t xml:space="preserve">4. </t>
  </si>
  <si>
    <t>http://business.center.cz/business/sablony/s110-ucetni-zaverka-v-plnem-rozsahu.aspx</t>
  </si>
  <si>
    <t>https://adisepo.mfcr.cz/adistc/adis/idpr_epo/epo2/spol/soubor_vyber.faces</t>
  </si>
  <si>
    <t>Po načtení souboru aplikace EPO ověří, zda je vygenerovaný soubor v pořádku. V případě, že v pořádku není, nahlásí chybu s popisem, v čem by chyba měla spočívat. Chybu je potřeba odstranit buď (i) přímo v aplikaci EPO, nebo (ii) v tomto excelovském souboru a znova vygenerovat xml soubor dle bodu 5.</t>
  </si>
  <si>
    <t>i) prostřednictvím aplikace EPO se zaručeným elektronickým podpisem,</t>
  </si>
  <si>
    <t>daňový poradce, auditor Aspekt HM s.r.o.</t>
  </si>
  <si>
    <t>autor šablony</t>
  </si>
  <si>
    <t>XML</t>
  </si>
  <si>
    <t xml:space="preserve"> </t>
  </si>
  <si>
    <t>ROZVAHA</t>
  </si>
  <si>
    <t>AKTIVA</t>
  </si>
  <si>
    <t>PASIVA</t>
  </si>
  <si>
    <t>VÝKAZ ZISKU A ZTRÁTY</t>
  </si>
  <si>
    <t>ii) prostřednictvím datové schránky. V tomto případě doporučujeme společně s xml soubor zaslat i pdf soubor obsahující daňové přiznání, tj. listy DAP1-DAP4, příp. 1Př1-Poj_priz, je-li pro ně náplň.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</si>
  <si>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</si>
  <si>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</si>
  <si>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</si>
  <si>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</si>
  <si>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</si>
  <si>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</si>
  <si>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podle § 6 zákona (ř. 31 + ř. 32 - ř. 33)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</si>
  <si>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</si>
  <si>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</si>
  <si>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</si>
  <si>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</si>
  <si>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</si>
  <si>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</si>
  <si>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</si>
  <si>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</si>
  <si>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</si>
  <si>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</si>
  <si>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</si>
  <si>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</si>
  <si>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</si>
  <si>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</si>
  <si>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</si>
  <si>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</si>
  <si>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</si>
  <si>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</si>
  <si>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</si>
  <si>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</si>
  <si>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</si>
  <si>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</si>
  <si>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</si>
  <si>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</si>
  <si>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</si>
  <si>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charset val="238"/>
      </rPr>
      <t>3)</t>
    </r>
    <r>
      <rPr>
        <b/>
        <sz val="9"/>
        <rFont val="Arial CE"/>
        <family val="2"/>
        <charset val="238"/>
      </rPr>
      <t>:</t>
    </r>
  </si>
  <si>
    <r>
      <t>s uvedením vztahu k právnické osobě</t>
    </r>
    <r>
      <rPr>
        <sz val="8"/>
        <rFont val="Arial CE"/>
        <charset val="23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</si>
  <si>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</si>
  <si>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238"/>
      </rPr>
      <t xml:space="preserve"> Údaj vyplňte, </t>
    </r>
    <r>
      <rPr>
        <b/>
        <sz val="7"/>
        <rFont val="Arial CE"/>
        <charset val="238"/>
      </rPr>
      <t>pouze</t>
    </r>
    <r>
      <rPr>
        <sz val="7"/>
        <rFont val="Arial CE"/>
        <family val="2"/>
        <charset val="23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</si>
  <si>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</si>
  <si>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</si>
  <si>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</si>
  <si>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</si>
  <si>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</si>
  <si>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</si>
  <si>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</si>
  <si>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</si>
  <si>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</si>
  <si>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</si>
  <si>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</si>
  <si>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</si>
  <si>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</si>
  <si>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</si>
  <si>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</si>
  <si>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</si>
  <si>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</si>
  <si>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</si>
  <si>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</si>
  <si>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charset val="23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</si>
  <si>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</si>
  <si>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</si>
  <si>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</si>
  <si>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</si>
  <si>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</si>
  <si>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</si>
  <si>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238"/>
      </rPr>
      <t>Přílohy č. 3</t>
    </r>
    <r>
      <rPr>
        <sz val="8"/>
        <rFont val="Arial CE"/>
        <family val="2"/>
        <charset val="238"/>
      </rPr>
      <t xml:space="preserve"> zveřejněný na webové adrese </t>
    </r>
    <r>
      <rPr>
        <b/>
        <sz val="8"/>
        <rFont val="Arial CE"/>
        <charset val="238"/>
      </rPr>
      <t>www.financnisprava.cz</t>
    </r>
    <r>
      <rPr>
        <b/>
        <sz val="8"/>
        <rFont val="Arial CE"/>
        <family val="2"/>
        <charset val="23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</si>
  <si>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</si>
  <si>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</si>
  <si>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</si>
  <si>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</si>
  <si>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</si>
  <si>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23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</si>
  <si>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vraťte na účet</t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</si>
  <si>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</si>
  <si>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</si>
  <si>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</si>
  <si>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</si>
  <si>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Důvod:</t>
  </si>
  <si>
    <t>5. Přeplatek (Doplatek)</t>
  </si>
  <si>
    <t>6. Nová výše zálohy (viz Poučení)</t>
  </si>
  <si>
    <t>b) výpočet</t>
  </si>
  <si>
    <t>7. Datum vyplnění a podpis pojištěnce</t>
  </si>
  <si>
    <t>Celková daňová povinnost:</t>
  </si>
  <si>
    <t>Postup:</t>
  </si>
  <si>
    <t>Podepisující osoba/vztah k účetní jednotce: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</si>
  <si>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</si>
  <si>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</si>
  <si>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</si>
  <si>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</si>
  <si>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</si>
  <si>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</si>
  <si>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</si>
  <si>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</si>
  <si>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</si>
  <si>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</si>
  <si>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</si>
  <si>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charset val="238"/>
      </rPr>
      <t>Speciální pozornost</t>
    </r>
    <r>
      <rPr>
        <sz val="11"/>
        <rFont val="Arial CE"/>
        <charset val="23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</si>
  <si>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charset val="238"/>
      </rPr>
      <t>Finanční úřad</t>
    </r>
    <r>
      <rPr>
        <sz val="11"/>
        <rFont val="Arial CE"/>
        <charset val="23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</si>
  <si>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</si>
  <si>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charset val="238"/>
      </rPr>
      <t xml:space="preserve"> Jakékoli připomínky k šabloně zasílejte prosím mailem na adresu: </t>
    </r>
    <r>
      <rPr>
        <b/>
        <sz val="11"/>
        <rFont val="Arial CE"/>
        <charset val="238"/>
      </rPr>
      <t>priznani@aspekt.hm</t>
    </r>
  </si>
  <si>
    <r>
      <rPr>
        <b/>
        <sz val="11"/>
        <rFont val="Arial CE"/>
        <charset val="238"/>
      </rPr>
      <t>Územní pracoviště</t>
    </r>
    <r>
      <rPr>
        <sz val="11"/>
        <rFont val="Arial CE"/>
        <charset val="238"/>
      </rPr>
      <t xml:space="preserve"> (list ZAKL_DATA, položka B14, která se přenáší na list 1, položka A5)</t>
    </r>
  </si>
  <si>
    <r>
      <rPr>
        <b/>
        <sz val="11"/>
        <rFont val="Arial CE"/>
        <charset val="238"/>
      </rPr>
      <t>Stát</t>
    </r>
    <r>
      <rPr>
        <sz val="11"/>
        <rFont val="Arial CE"/>
        <charset val="238"/>
      </rPr>
      <t xml:space="preserve"> (list ZAKL_DATA, položka B20 která se přenáší na list 1, položka A36)</t>
    </r>
  </si>
  <si>
    <r>
      <rPr>
        <b/>
        <sz val="11"/>
        <rFont val="Arial CE"/>
        <charset val="238"/>
      </rPr>
      <t>Předmět podnikání / Hlavní ekonomická činnost</t>
    </r>
    <r>
      <rPr>
        <sz val="11"/>
        <rFont val="Arial CE"/>
        <charset val="23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</si>
  <si>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charset val="238"/>
      </rPr>
      <t>vyplnit pomocí rozevíracího seznamu</t>
    </r>
    <r>
      <rPr>
        <sz val="11"/>
        <rFont val="Arial CE"/>
        <charset val="23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</si>
  <si>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t>Pokud nemáte zájem načítat účetní závěrku do tohoto excelového formuláře, je potřeba po načtení importovaného souboru do aplikace EPO (viz bod 7) zde jít na záložku „Vybrané údaje z účetnictví" a zde buď ručně vyplnit svoje data ze své účetní závěrky, nebo listy účetní závěrku úplně smazat.</t>
  </si>
  <si>
    <r>
      <t xml:space="preserve">Jakmile máte vyplněna všechna data, </t>
    </r>
    <r>
      <rPr>
        <b/>
        <sz val="11"/>
        <rFont val="Arial CE"/>
        <charset val="238"/>
      </rPr>
      <t>je potřeba si soubor ve formátu *.xlsx uložit</t>
    </r>
    <r>
      <rPr>
        <sz val="11"/>
        <rFont val="Arial CE"/>
        <charset val="23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</si>
  <si>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charset val="238"/>
      </rPr>
      <t>generování xml souboru</t>
    </r>
    <r>
      <rPr>
        <sz val="11"/>
        <rFont val="Arial CE"/>
        <charset val="238"/>
      </rPr>
      <t>. Je potřeba provést funkci „Uložit jako" a v položce „Uložit jako typ" zvolit jako způsob uložení souboru volbu „</t>
    </r>
    <r>
      <rPr>
        <b/>
        <sz val="11"/>
        <rFont val="Arial CE"/>
        <charset val="238"/>
      </rPr>
      <t>Datové soubory ve formátu xml</t>
    </r>
    <r>
      <rPr>
        <sz val="11"/>
        <rFont val="Arial CE"/>
        <charset val="238"/>
      </rPr>
      <t>". Po odkliknutí tlačítka „Uložit" dojde k vygenerování xml souboru a jeho uložení na zvolenou cestu.</t>
    </r>
  </si>
  <si>
    <r>
      <t xml:space="preserve">Do vygenerovaného souboru doporučujeme </t>
    </r>
    <r>
      <rPr>
        <b/>
        <sz val="11"/>
        <rFont val="Arial CE"/>
        <charset val="238"/>
      </rPr>
      <t>prostřednictvím aplikace EPO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též vložit povinné přílohy</t>
    </r>
    <r>
      <rPr>
        <sz val="11"/>
        <rFont val="Arial CE"/>
        <charset val="238"/>
      </rPr>
      <t xml:space="preserve"> v pdf formátu (viz list DAP4), případně účetní závěrku v pdf formátu (pokud ji nenačtete rovnou do tohoto souboru - viz bod 4) - příslušný formulář lze stáhnout zde: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</si>
  <si>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</si>
  <si>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</si>
  <si>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238"/>
      </rPr>
      <t>1</t>
    </r>
    <r>
      <rPr>
        <vertAlign val="superscript"/>
        <sz val="8"/>
        <rFont val="Arial CE"/>
        <charset val="23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</si>
  <si>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</si>
  <si>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</si>
  <si>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</si>
  <si>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</si>
  <si>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</si>
  <si>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</si>
  <si>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</si>
  <si>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</si>
  <si>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</si>
  <si>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</si>
  <si>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</si>
  <si>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</si>
  <si>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</si>
  <si>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</si>
  <si>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</si>
  <si>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</si>
  <si>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</si>
  <si>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</si>
  <si>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</si>
  <si>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</si>
  <si>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Místně příslušná OSSZ / PSSZ / MSSZ Brno</t>
  </si>
  <si>
    <t>Variabilní symbol důchodového pojištění (DP)</t>
  </si>
  <si>
    <t>VZP</t>
  </si>
  <si>
    <t>Jiné ZP</t>
  </si>
  <si>
    <r>
      <t xml:space="preserve">Vygenerovaný soubor </t>
    </r>
    <r>
      <rPr>
        <b/>
        <sz val="11"/>
        <rFont val="Arial CE"/>
        <charset val="238"/>
      </rPr>
      <t>JE NUTNÉ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otestovat prostřednictvím aplikace EPO</t>
    </r>
    <r>
      <rPr>
        <sz val="11"/>
        <rFont val="Arial CE"/>
        <charset val="238"/>
      </rPr>
      <t xml:space="preserve">  zde: </t>
    </r>
  </si>
  <si>
    <t xml:space="preserve">Většina chyb je způsobena tím, že aplikace EPO má příliš striktní kontroly (např. na vyživované děti) a hlásí chyby i v případě, kdy daná položka není vyplněna. Je to trochu specifikum formuláře DzPFO, v jiných formulářích se tento typ chyb v aplikaci EPO nevyskytuje. Bohužel prostředky, které jsou v excelu dostupné, neumožňují tyto chyby obejít.
Řešením proto je tyto "chyby" odstranit v aplikaci EPO, zpravidla stačí na každé straně, kde se chyby vyskytují, dát volbu „Kontrola stránky“ (zpravidla V. oddíl nebo Příloha 1), příp. prázdné stránky zcela smazat (zpravidla Příloha 2) 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</si>
  <si>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</si>
  <si>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</si>
  <si>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</si>
  <si>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</si>
  <si>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</si>
  <si>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</si>
  <si>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</si>
  <si>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</si>
  <si>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</si>
  <si>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</si>
  <si>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</si>
  <si>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</si>
  <si>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</si>
  <si>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</si>
  <si>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</si>
  <si>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</si>
  <si>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</si>
  <si>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</si>
  <si>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</si>
  <si>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</si>
  <si>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</si>
  <si>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</si>
  <si>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</si>
  <si>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</si>
  <si>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</si>
  <si>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</si>
  <si>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</si>
  <si>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</si>
  <si>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</si>
  <si>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</si>
  <si>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</si>
  <si>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</si>
  <si>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</si>
  <si>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</si>
  <si>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</si>
  <si>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</si>
  <si>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r>
      <t xml:space="preserve">Vypočtená částka </t>
    </r>
    <r>
      <rPr>
        <sz val="8"/>
        <rFont val="Arial CE"/>
        <family val="2"/>
        <charset val="238"/>
      </rPr>
      <t xml:space="preserve">[(ř. 57 + ř. 59 ) - ř. 328] </t>
    </r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</si>
  <si>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</si>
  <si>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</si>
  <si>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Hlavní činnost</t>
  </si>
  <si>
    <t>Vedlejší činnost</t>
  </si>
  <si>
    <t>Za OSSZ zpracoval/a</t>
  </si>
  <si>
    <t>Číslo popisné / číslo orientační</t>
  </si>
  <si>
    <t>ŽÁDÁM o vrácení přepl. ve výši:</t>
  </si>
  <si>
    <t>Poplatník je pojištěn u: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</si>
  <si>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</si>
  <si>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</si>
  <si>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</si>
  <si>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</si>
  <si>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</si>
  <si>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</si>
  <si>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</si>
  <si>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</si>
  <si>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</si>
  <si>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</si>
  <si>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</si>
  <si>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</si>
  <si>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</si>
  <si>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</si>
  <si>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</si>
  <si>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</si>
  <si>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</si>
  <si>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</si>
  <si>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</si>
  <si>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</si>
  <si>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</si>
  <si>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</si>
  <si>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</si>
  <si>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</si>
  <si>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</si>
  <si>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</si>
  <si>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</si>
  <si>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</si>
  <si>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</si>
  <si>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</si>
  <si>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Úhrn slev na dani podle § 35, § 35a, § 35b a § 35 ba zákona (ř. 62 + ř. 63 + ř. 64 + ř. 65a + ř. 65b + ř. 66 + ř. 67 + ř. 68 + ř. 69 + ř. 69a + 69b)</t>
  </si>
  <si>
    <t>Kód státu:</t>
  </si>
  <si>
    <t>Příjmy ze zdrojů v zahraničí -</t>
  </si>
  <si>
    <t>Rozdíl řádků (ř. 323 - ř. 326)</t>
  </si>
  <si>
    <t>Údaje OSSZ / PSSZ / MSSZ Brno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</si>
  <si>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</si>
  <si>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</si>
  <si>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</si>
  <si>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</si>
  <si>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</si>
  <si>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</si>
  <si>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</si>
  <si>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</si>
  <si>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</si>
  <si>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</si>
  <si>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</si>
  <si>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</si>
  <si>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</si>
  <si>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</si>
  <si>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</si>
  <si>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</si>
  <si>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</si>
  <si>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</si>
  <si>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</si>
  <si>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ročníku</t>
  </si>
  <si>
    <t>PSOSVC v1.02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</si>
  <si>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</si>
  <si>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</si>
  <si>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238"/>
      </rPr>
      <t xml:space="preserve">potvrzuji, </t>
    </r>
    <r>
      <rPr>
        <sz val="9"/>
        <color theme="1"/>
        <rFont val="Arial"/>
        <family val="2"/>
        <charset val="23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</si>
  <si>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</si>
  <si>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</si>
  <si>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238"/>
      </rPr>
      <t xml:space="preserve">vyživované děti poplatníkem, </t>
    </r>
    <r>
      <rPr>
        <sz val="9"/>
        <color theme="1"/>
        <rFont val="Arial"/>
        <family val="2"/>
        <charset val="23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</si>
  <si>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</si>
  <si>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</si>
  <si>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</si>
  <si>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</si>
  <si>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</si>
  <si>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238"/>
      </rPr>
      <t>nepovinný tiskopis</t>
    </r>
    <r>
      <rPr>
        <sz val="8"/>
        <color theme="1"/>
        <rFont val="Arial"/>
        <family val="2"/>
        <charset val="238"/>
      </rPr>
      <t xml:space="preserve">, který je určen plátcům daně </t>
    </r>
    <r>
      <rPr>
        <b/>
        <sz val="8"/>
        <color theme="1"/>
        <rFont val="Arial"/>
        <family val="2"/>
        <charset val="23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23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23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</si>
  <si>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</si>
  <si>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</si>
  <si>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</si>
  <si>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</si>
  <si>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</si>
  <si>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</si>
  <si>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</si>
  <si>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</si>
  <si>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</si>
  <si>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</si>
  <si>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</si>
  <si>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</si>
  <si>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</si>
  <si>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</si>
  <si>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</si>
  <si>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</si>
  <si>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</si>
  <si>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</si>
  <si>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</si>
  <si>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charset val="238"/>
      </rPr>
      <t xml:space="preserve"> </t>
    </r>
    <r>
      <rPr>
        <sz val="8"/>
        <rFont val="Arial CE"/>
        <charset val="238"/>
      </rPr>
      <t>(je-li zástupce právnickou osobou)</t>
    </r>
    <r>
      <rPr>
        <sz val="9"/>
        <rFont val="Arial CE"/>
        <charset val="238"/>
      </rPr>
      <t>,</t>
    </r>
  </si>
  <si>
    <t>Příjmy podle § 9 zákona celkem</t>
  </si>
  <si>
    <t>P o t v r z e n í</t>
  </si>
  <si>
    <t>V souladu s ustanovením § 15a odst. 3 zákona č. 589/1992 Sb., ve znění pozdějších předpisů potvrzuje</t>
  </si>
  <si>
    <t>(zaměstnavatel - název sídlo)</t>
  </si>
  <si>
    <t>variabilní symbol</t>
  </si>
  <si>
    <t>že jeho zaměstnanec</t>
  </si>
  <si>
    <t>rodné číslo</t>
  </si>
  <si>
    <t>(jméno a příjmení)</t>
  </si>
  <si>
    <t>trvalý pobyt</t>
  </si>
  <si>
    <t>dosáhl v kalendářním roce</t>
  </si>
  <si>
    <t xml:space="preserve">ze zaměstnání, které zakládá účast na </t>
  </si>
  <si>
    <t xml:space="preserve">nemocenském a důchodovém pojištění/důchodovém pojištění *) </t>
  </si>
  <si>
    <t>úhrn vyměřovacích základů, z nichž bylo</t>
  </si>
  <si>
    <t>sraženo pojistné na sociálním zabezpečení a příspěvek na státní politiku zaměstnanosti, ve výši</t>
  </si>
  <si>
    <t>Kč. **)</t>
  </si>
  <si>
    <t>Dne</t>
  </si>
  <si>
    <t>(razítko a podpis zaměstnavatele)</t>
  </si>
  <si>
    <t>Za zaměstavatele vyřizuje:</t>
  </si>
  <si>
    <t>tel.:</t>
  </si>
  <si>
    <t>*) Nehodící se škrtněte</t>
  </si>
  <si>
    <t>**) Pokud úhrn vyměřovacích základů v kalendářím roce přesáhne maximální vyměřovací základ, uvede se maximální vyměřovací základ pro daný kalendářní rok stanovený podle § 15a odst. 1 zákona č. 589/1992 Sb., ve znění pozdějších předpisů.</t>
  </si>
  <si>
    <t>je OSVČ studentem/studentkou</t>
  </si>
  <si>
    <t>studium bylo ukončeno dnem</t>
  </si>
  <si>
    <t>studium bylo přerušeno dne</t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</si>
  <si>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</si>
  <si>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</si>
  <si>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</si>
  <si>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charset val="238"/>
      </rPr>
      <t>ZAKL_DATA</t>
    </r>
    <r>
      <rPr>
        <sz val="12"/>
        <rFont val="Arial CE"/>
        <charset val="23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</si>
  <si>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</si>
  <si>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charset val="238"/>
      </rPr>
      <t>XML_export</t>
    </r>
    <r>
      <rPr>
        <sz val="12"/>
        <rFont val="Arial CE"/>
        <charset val="23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</si>
  <si>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</si>
  <si>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</si>
  <si>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 xml:space="preserve">nebo vraťte na účet vedený u </t>
  </si>
  <si>
    <t>Datum převzetí, razítko a podpis pracovníka VZP ČR</t>
  </si>
  <si>
    <t>FORMULÁŘ PRO NAČTENÍ DAT Z ÚČETNÍ ZÁVĚRKY PRO PODNIKATELE (ve zkráceném i v plném rozsahu)</t>
  </si>
  <si>
    <t xml:space="preserve">1. ve vyplněném souboru Účetní závěrky jděte na list "Export do DzPPO", klikněte na červenou buňku vlevo nahoře (buňka A1), stiskněte klávesy Ctrl+A a následně Ctrl+C. </t>
  </si>
  <si>
    <t>2. v souběžně otevřeném souboru Daňového přiznání jděte na list "Účetní_závěrka", klikněte na červenou buňku vlevo nahoře (buňka A1) a stiskněte klávesy Ctrl+V.</t>
  </si>
  <si>
    <t>6. Ulice</t>
  </si>
  <si>
    <t>7. Číslo domu</t>
  </si>
  <si>
    <t>8. Obec</t>
  </si>
  <si>
    <t>9. PSČ</t>
  </si>
  <si>
    <t>10. Stát</t>
  </si>
  <si>
    <t>IBAN (číslo účtu použijte při platbě do ciziny)</t>
  </si>
  <si>
    <t>L. Podpisy a razítka</t>
  </si>
  <si>
    <t>PŘIZNÁNÍ K DANI Z PŘÍJMŮ FYZICKÝCH OSOB pro poplatníky vedoucí účetnictví, včetně přehledů OSVČ pro zdravotní i sociální pojištění</t>
  </si>
  <si>
    <t>Z Řádku 4 počet měsíců , kdy byla OSVČ pojištěna u VZP ČR</t>
  </si>
  <si>
    <t>Prohlašuji, že všechny údaje v tomto PŘEHLEDU jsou pravdivé a že ohlásím VZP ČR všechny změny údajů, a to do 8 dnů ode dne, kdy jsem se o změněné skutečnosti dozvěděl.</t>
  </si>
  <si>
    <t>G. Způsob použití přeplatku</t>
  </si>
  <si>
    <t>11</t>
  </si>
  <si>
    <t>10</t>
  </si>
  <si>
    <t>9</t>
  </si>
  <si>
    <t>8</t>
  </si>
  <si>
    <t>7</t>
  </si>
  <si>
    <t>4</t>
  </si>
  <si>
    <t>3</t>
  </si>
  <si>
    <t>2</t>
  </si>
  <si>
    <t>1</t>
  </si>
  <si>
    <t>použijte (nemám-li vůči OSSZ/PSSZ/MSSZ Brno nebo ČSSZ</t>
  </si>
  <si>
    <t>Přeplatek (zbývající část přeplatku) ve vyšší výši než 99 Kč</t>
  </si>
  <si>
    <t>písm. h) zákona (sleva na evidenci tržeb)</t>
  </si>
  <si>
    <r>
      <t>Podpis daňového subjektu (podepisující osoby</t>
    </r>
    <r>
      <rPr>
        <vertAlign val="superscript"/>
        <sz val="8"/>
        <rFont val="Arial"/>
        <family val="2"/>
        <charset val="238"/>
      </rPr>
      <t>3)</t>
    </r>
    <r>
      <rPr>
        <sz val="8"/>
        <rFont val="Arial"/>
        <family val="2"/>
        <charset val="238"/>
      </rPr>
      <t>)</t>
    </r>
  </si>
  <si>
    <t>09 Titul*)</t>
  </si>
  <si>
    <t>07 Rodné příjmení*)</t>
  </si>
  <si>
    <t>16 Telefon / mobilní telefon*)</t>
  </si>
  <si>
    <t>17 E-mail*)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</si>
  <si>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</si>
  <si>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</si>
  <si>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</si>
  <si>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</si>
  <si>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charset val="238"/>
      </rPr>
      <t>1</t>
    </r>
    <r>
      <rPr>
        <sz val="8"/>
        <rFont val="Arial CE"/>
        <charset val="23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</si>
  <si>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</si>
  <si>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</si>
  <si>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</si>
  <si>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</si>
  <si>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>) Stanovena (pravomocně stanovena)</t>
    </r>
  </si>
  <si>
    <t>25 5405/P6 MFin 5405/P6 - vzor č. 2</t>
  </si>
  <si>
    <t>4. Rodné číslo</t>
  </si>
  <si>
    <t>5. Datum narození</t>
  </si>
  <si>
    <t>11. ID Datové schránky/E-mail</t>
  </si>
  <si>
    <t>12. Telefon</t>
  </si>
  <si>
    <t>B. Údaje o výkonu samostatné výdělečné činnosti (SVČ)</t>
  </si>
  <si>
    <t>Měsíce, v nichž po celý měsíc trval nárok na výplatu nemocenského/PPM nebo dlouh. ošetřovného</t>
  </si>
  <si>
    <t xml:space="preserve">C. Důvod výkonu vedlejší SVČ - podle ustanovení § 9 odst. 6 písm. a) - d)  zák. č. 155/1995 Sb. </t>
  </si>
  <si>
    <t>14. Zaměstnání</t>
  </si>
  <si>
    <t>16. Nárok na rodičovský příspěvek</t>
  </si>
  <si>
    <t>17. Nárok na PPM nebo nemocenské z důvodu těhotenství a porodu z NP zaměstnanců</t>
  </si>
  <si>
    <t>18. Osobní péče o osobu závislou na pomoci jiné osoby</t>
  </si>
  <si>
    <t>20. Daňový základ</t>
  </si>
  <si>
    <t xml:space="preserve">21. Počet měsíců, v nichž je SVČ považována za </t>
  </si>
  <si>
    <t xml:space="preserve">22. Počet měsíců, v nichž jsem vykonával/a SVČ alespoň po část měsíce </t>
  </si>
  <si>
    <t>H. Údaje o daňovém přiznání</t>
  </si>
  <si>
    <t>I. Údaje o opravném přehledu</t>
  </si>
  <si>
    <t>J. Základní identifikace OSVČ, se kterou je vykonávána spolupráce</t>
  </si>
  <si>
    <t>K. Prohlášení</t>
  </si>
  <si>
    <r>
      <t xml:space="preserve">Za účelem zajištění plné a transparentní informovanosti a efektivnější vzájemné komunikace v agendě sociálního pojištění OSVČ uděluji ČSSZ a OSSZ/PSSZ/MSSZ Brno souhlas se zpracováním svého telefonního čísla a své e-mailové adresy uvedené výše. O svých právech v souvislosti se zpracováním osobních údajů jsem byl/a poučen/a. Více informací naleznete na </t>
    </r>
    <r>
      <rPr>
        <u/>
        <sz val="8"/>
        <rFont val="Arial"/>
        <family val="2"/>
        <charset val="238"/>
      </rPr>
      <t>https://www.cssz.cz/cz/gdpr.htm</t>
    </r>
  </si>
  <si>
    <t>Pro Důvod podle písmena f) uveďte</t>
  </si>
  <si>
    <t xml:space="preserve">     Řádek 5</t>
  </si>
  <si>
    <r>
      <t xml:space="preserve">NEŽÁDÁM o vrácení přeplatku </t>
    </r>
    <r>
      <rPr>
        <b/>
        <sz val="7"/>
        <color rgb="FFFF0000"/>
        <rFont val="Arial"/>
        <family val="2"/>
        <charset val="238"/>
      </rPr>
      <t>(přeplatek bude použit na úhrady záloh v dal.období)</t>
    </r>
  </si>
  <si>
    <t xml:space="preserve">      Typ zálohy                                                               Nová výše zálohy</t>
  </si>
  <si>
    <t>VZP 87.51/2020</t>
  </si>
  <si>
    <t>Datum převzetí, razítko a podpis pracovníka ZP ČR</t>
  </si>
  <si>
    <t>Prohlašuji, že všechny údaje v tomto PŘEHLEDU jsou pravdivé a že ohlásím ZP ČR všechny změny údajů, a to do 8 dnů ode dne, kdy jsem se o změněné skutečnosti dozvěděl.</t>
  </si>
  <si>
    <t>25 5405 Mfin 5405 vzor č. 27, formulář je platný pro zdaňovací období započatá v roce 2021</t>
  </si>
  <si>
    <r>
      <t>Dle názoru GFŘ</t>
    </r>
    <r>
      <rPr>
        <b/>
        <sz val="11"/>
        <rFont val="Arial CE"/>
        <charset val="238"/>
      </rPr>
      <t xml:space="preserve"> je nedílnou součástí přiznání pro účetní jednotky  (= fyzické osoby vedoucí podvojné účetnictví ) i účetní závěrka</t>
    </r>
    <r>
      <rPr>
        <sz val="11"/>
        <rFont val="Arial CE"/>
        <charset val="238"/>
      </rPr>
      <t>. Proto j</t>
    </r>
    <r>
      <rPr>
        <b/>
        <sz val="11"/>
        <rFont val="Arial CE"/>
        <charset val="238"/>
      </rPr>
      <t>e potřeba na list Účetní_závěrka natáhnout data ze souboru účetní závěrky</t>
    </r>
    <r>
      <rPr>
        <sz val="11"/>
        <rFont val="Arial CE"/>
        <charset val="238"/>
      </rPr>
      <t xml:space="preserve"> v plném rozsahu (viz soubor UCZAV_PF21.xls) nebo ve zjednodušeném rozsahu (soubor UCZAV_ZF21.xls), a to dle postupu uvedeným na listu Účetní_závěrka. Příslušné formuláře lze stáhnout zde:</t>
    </r>
  </si>
  <si>
    <t>27 Telefon / mobilní telefon*)</t>
  </si>
  <si>
    <t>28 E-mail*)</t>
  </si>
  <si>
    <t>25 5405 MFin 5405 vzor č.27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</si>
  <si>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</si>
  <si>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</si>
  <si>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</si>
  <si>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</si>
  <si>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</t>
    </r>
  </si>
  <si>
    <t>74a</t>
  </si>
  <si>
    <t>Daň ze samostatného základu daně podle § 16a zákona
(částka z ř. 413 přílohy č. 4 DAP)</t>
  </si>
  <si>
    <t>Daň celkem (ř. 74 - ř. 74a)</t>
  </si>
  <si>
    <t>Daň celkem po úpravě o daňový bonus (ř. 75 – ř. 76), pokud
je na řádku záporné číslo uveďte nulu</t>
  </si>
  <si>
    <t>77a</t>
  </si>
  <si>
    <t>Daňový bonus po odpočtu daně (ř. 76 – ř. 75), pokud je na
řádku záporné číslo uveďte nulu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</si>
  <si>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</si>
  <si>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</si>
  <si>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</si>
  <si>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</si>
  <si>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charset val="238"/>
      </rPr>
      <t>*</t>
    </r>
    <r>
      <rPr>
        <sz val="7"/>
        <rFont val="Arial CE"/>
        <charset val="238"/>
      </rPr>
      <t>) Označené údaje jsou nepovinné</t>
    </r>
  </si>
  <si>
    <t>ke dni  31.12.2021</t>
  </si>
  <si>
    <t>je součástí tiskopisu P Ř I Z N Á N Í k dani z příjmů fyzických osob za zdaňovací období 2021 - 25 5405 MFin 5405 vzor č. 27 („dále jen DAP")</t>
  </si>
  <si>
    <t>Dílčí základ daně (ztráta) z příjmů dle § 7 zákona (ř. 104 + ř. 105 - ř. 106 - ř. 107 + ř. 108 + ř. 109 - ř. 110 + ř. 112)</t>
  </si>
  <si>
    <t>25 5405/P1 MFin 5405/P1 - vzor č. 17</t>
  </si>
  <si>
    <t>je součástí tiskopisu P Ř I Z N Á N Í k dani z příjmů fyzických osob za zdaňovací období 2021  - 25 5405 MFin 5405 vzor č. 27 (dále jen „DAP").</t>
  </si>
  <si>
    <t>je součástí tiskopisu P Ř I Z N Á N Í k dani z příjmů fyzických osob za zdaňovací období 2021 - 25 5405 MFin 5405 vzor č. 27 (dále jen „DAP")</t>
  </si>
  <si>
    <t>25 5405/P2 MFin 5405/P2 - vzor č. 17</t>
  </si>
  <si>
    <t xml:space="preserve">Koeficient zápočtu (ř. 321 - ř. 322) děleno ř. 42 nebo ř. 313, výsledek vynásobte stem </t>
  </si>
  <si>
    <t>Z částky daně zaplacené v zahraničí lze maximálně započítat                    [(ř. 57 nebo ř. 316 násobeno ř. 324, děleno 100]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</si>
  <si>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</si>
  <si>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</si>
  <si>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</si>
  <si>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</si>
  <si>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Základ daně po vynětí příjmů ze zdrojů v zahraničí snížený o nezdanitelné části základu daně a odčitatelné položky (ř. 313 – ř. 54 – ř. 44) zaokrouhlený na celá sta Kč dolů</t>
  </si>
  <si>
    <t>Sazba celkového daňového zatížení –
(ř. 57 děleno ř. 56, násobeno stem)</t>
  </si>
  <si>
    <t>Daň ze základu daně po vynětí příjmů ze zdrojů v zahraničí
(ř. 314 násobeno ř. 315, děleno stem)</t>
  </si>
  <si>
    <t>2. Příjmy ze zdrojů v zahraničí - metoda zápočtu daně zaplacené v zahraničí</t>
  </si>
  <si>
    <t>25 5405/P3 MFin 5405/P3 - vzor č. 17</t>
  </si>
  <si>
    <t>PŘÍLOHA č. 4</t>
  </si>
  <si>
    <t>je součástí tiskopisu P Ř I Z N Á N Í k dani z příjmů fyzických osob za zdaňovací období 2021 - 25 5405 MFin 5405 vzor č. 27 (dále jen „DAP").</t>
  </si>
  <si>
    <t>Výpočet daně ze samostatného základu daně podle § 16a zákona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</si>
  <si>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</si>
  <si>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</si>
  <si>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</si>
  <si>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</si>
  <si>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</si>
  <si>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podle § 8 zákona (ř. 401 po snížení
podle § 8 odst. 9 zákona)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</si>
  <si>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</si>
  <si>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</si>
  <si>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Daň se sazbou 15 % ze součtu dílčích základů daně
(ř. 406 + ř. 407 + ř. 408) zaokrouhleného na celá sta Kč dolů</t>
  </si>
  <si>
    <t>Úhrn příjmů, u nichž se uplatní zápočet – z příjmů uvedených
na ř. 406, ř. 407 a ř. 408</t>
  </si>
  <si>
    <t>Daň zaplacená v zahraničí z příjmů uvedených na ř. 410</t>
  </si>
  <si>
    <t>Daň uznaná k zápočtu (ř. 411 maximálně do výše 15 % z částky
uvedené na ř. 410)</t>
  </si>
  <si>
    <t>Daň ze samostatného základu daně podle § 16a zákona
(ř. 409 – ř. 412)</t>
  </si>
  <si>
    <t>25 5405/P4 MFin 5405/P4 - vzor č. 8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</si>
  <si>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</si>
  <si>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</si>
  <si>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t>25 5405/a MFin 5405/a - vzor č. 5</t>
  </si>
  <si>
    <t>25 5405b MFin 5405b - vzor č. 3</t>
  </si>
  <si>
    <t>prohlašuji, že jsem v roce 2021 neuplatnil / neuplatnila daňové zvýhodnění na vyživované děti:</t>
  </si>
  <si>
    <t>Platební kalendář daňových a pojistných povinností 2022 - 2023</t>
  </si>
  <si>
    <t xml:space="preserve">Příjmení a jméno poplatníka: </t>
  </si>
  <si>
    <t>Poslední známá daňová povinnost:</t>
  </si>
  <si>
    <r>
      <t>Termín pro odevzdání daňového přiznání</t>
    </r>
    <r>
      <rPr>
        <vertAlign val="superscript"/>
        <sz val="10"/>
        <rFont val="Arial CE"/>
        <charset val="238"/>
      </rPr>
      <t>1)</t>
    </r>
    <r>
      <rPr>
        <sz val="10"/>
        <rFont val="Arial CE"/>
        <charset val="238"/>
      </rPr>
      <t>:</t>
    </r>
  </si>
  <si>
    <t>Tisk řádku</t>
  </si>
  <si>
    <t>Datum splatnosti</t>
  </si>
  <si>
    <t>Daň z příjmů</t>
  </si>
  <si>
    <t>Duchodové pojištění</t>
  </si>
  <si>
    <t>Nemocenské pojištění</t>
  </si>
  <si>
    <t>Zdravotní pojištění</t>
  </si>
  <si>
    <t>ANO/NE</t>
  </si>
  <si>
    <r>
      <t>8. den po datu odevzdání přehledů OSVČ</t>
    </r>
    <r>
      <rPr>
        <vertAlign val="superscript"/>
        <sz val="10"/>
        <rFont val="Arial"/>
        <family val="2"/>
        <charset val="238"/>
      </rPr>
      <t>2)</t>
    </r>
  </si>
  <si>
    <t xml:space="preserve">1) toto políčko je potřeba vyplnit ručně, nejsou-li uvedené údaje v pořádku; v daném zdaňovacím období je termín pro podání přiznání stanoven: </t>
  </si>
  <si>
    <t>ANO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</si>
  <si>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subjekty.</t>
  </si>
  <si>
    <t>ii) na 2.5., pokud dojde k podání přiznání elektronickou cestou poplatníkem v termínu od 2.4. do 2.5., avšak s vyjímkou povinně auditovaných daňových subjektů.</t>
  </si>
  <si>
    <t>iii) na 1.7., pokud dojde k podání přiznání daňovým poradcem na základě plné moci v termínu od 2.4. do 1.7. nebo u  povinně auditovaných subjektů.</t>
  </si>
  <si>
    <t>2) Termín pro podání přehledů OSVČ na sociální i zdravotní pojištění je nejpozději do jednoho měsíce ode dne, ve kterém mělo být podáno daňové přiznání. Doplatek pojistného je splatný nejpozději do 8 dnů po dni, ve kterém byl nebo měl být podán přehled OSVČ.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</si>
  <si>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</si>
  <si>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Znaménko mínus značí přeplatek a měl by být vrácen nejpozději do 30 dnů po datu uvedeném v příslušném řádku.</t>
  </si>
  <si>
    <t>Přehled o příjmech a výdajích OSVČ za rok 2021</t>
  </si>
  <si>
    <t>19. Nezaopatřenost (studium)</t>
  </si>
  <si>
    <t>D. Údaje o daňovém základu OSVČ za rok 2021 a další údaje podle ustanovení § 15 zákona č. 589/1992 Sb.</t>
  </si>
  <si>
    <t>23. Průměrný měsíční daňový základ</t>
  </si>
  <si>
    <t>24. Rozdělení daňového základu</t>
  </si>
  <si>
    <t xml:space="preserve">25. Vypočtený vyměřovací základ </t>
  </si>
  <si>
    <t xml:space="preserve">26. Dílčí vyměřovací základ </t>
  </si>
  <si>
    <t xml:space="preserve">27. Minimální vyměřovací základ </t>
  </si>
  <si>
    <t xml:space="preserve">28. Určený vyměřovací základ </t>
  </si>
  <si>
    <t xml:space="preserve">29. Vyměřovací základ ze zaměstnání </t>
  </si>
  <si>
    <t>30. Součet řádků 28 a 29</t>
  </si>
  <si>
    <t>31. Vyměřovací základ ze SVČ</t>
  </si>
  <si>
    <t>32. Pojistné na DP</t>
  </si>
  <si>
    <t>33. Úhrn zaplacených záloh na DP</t>
  </si>
  <si>
    <t>34. Výsledný Doplatek / Přeplatek (rozdíl mezi řádky 32 a 33)</t>
  </si>
  <si>
    <t>E. Vedlejsí SVČ - přihláška k účasti na DP OSVČ v roce 2021</t>
  </si>
  <si>
    <t>Vzhledem k tomu, že jsem v roce 2021 nedosáhl/a z výkonu vedlejší SVČ zákonem stanoveného příjmu pro povinnou účast na důchodovém pojištění OSVČ, přihlašuji se k této účasti dnem podání tohoto přehledu</t>
  </si>
  <si>
    <t>ČSSZ -89 324 21 I/2021</t>
  </si>
  <si>
    <t>Poznámka : řádky 24 a 26 se vyplňují pouze v tom případě, byla-li vykonávána hlavní i vedlejší činnost (čtěte pokyny)</t>
  </si>
  <si>
    <t>F. Výše zálohy na důchodové pojištění (DP) a pojistného na nemocenské pojištění (NP) na rok 2022</t>
  </si>
  <si>
    <t>V roce 2022 budu vykonávat SVČ</t>
  </si>
  <si>
    <r>
      <rPr>
        <sz val="8"/>
        <rFont val="Arial"/>
        <family val="2"/>
        <charset val="238"/>
      </rPr>
      <t>splatný závazek) na úhradu</t>
    </r>
    <r>
      <rPr>
        <b/>
        <sz val="8"/>
        <rFont val="Arial"/>
        <family val="2"/>
        <charset val="238"/>
      </rPr>
      <t xml:space="preserve"> záloh na pojistné na měsíce roku 2022</t>
    </r>
  </si>
  <si>
    <t>35. Měsíční vyměřovací základ</t>
  </si>
  <si>
    <t>37. Měsíční pojistné na NP</t>
  </si>
  <si>
    <t xml:space="preserve">36. Měsíční záloha na DP </t>
  </si>
  <si>
    <t>38. Povinnost podávat daňové přiznání</t>
  </si>
  <si>
    <t>39. Daňové přiznání podáno po 1.4.2022 elektronicky</t>
  </si>
  <si>
    <t>40. Daňové přiznání podává po 1.4.2022 daňový poradce</t>
  </si>
  <si>
    <t>41. Lhůta pro předložení daňového přiznání byla rozhodnutím FÚ prodloužena do dne</t>
  </si>
  <si>
    <t>42. Účtování v hospodářském roce</t>
  </si>
  <si>
    <t>Prohlašuji, že všechny údaje uvedené v tomto přehledu jsou pravdivé a že příslušné správě sociálního zabezpečení ohlásím změny údajů, které by vedly ke zvýšení vyměřovacího základu za rok 2021, a to do 8 dnů ode dne, kdy jsem se o těchto změnách dozvěděl/a.</t>
  </si>
  <si>
    <t>ČSSZ 89 324 21 I/2021</t>
  </si>
  <si>
    <t>Plná moc přílohou             ano</t>
  </si>
  <si>
    <t>Jiné přílohy</t>
  </si>
  <si>
    <t>Přehled o příjmech a výdajích OSVČ za rok 2021 - 2.strana</t>
  </si>
  <si>
    <t>13. V roce 2021 jsem vykonával/a SVČ</t>
  </si>
  <si>
    <t>15. Nárok na výplatu invalidního nebo přiznání starobního důchodu</t>
  </si>
  <si>
    <t>pošlete poštovní poukázkou (zpoplatněno) na adresu trvalého pobytu nebo na uvedenou adresu:</t>
  </si>
  <si>
    <t>Přehled o výši daňového základu ze samostatné výdělečné činnosti a zaplacených zálohách na pojistné</t>
  </si>
  <si>
    <t>V roce 2021 pro mne neplatila povinnost hradit zálohy na pojistné v měsících:</t>
  </si>
  <si>
    <t>Mám povinnost podávat daňové přiznání do 1.4.2022</t>
  </si>
  <si>
    <t>V roce 2021 pro mne nebyl stanoven minimální vyměřovací základ v měsících:</t>
  </si>
  <si>
    <t>Daňové přiznání podávám po 1.4.2022 elektronicky</t>
  </si>
  <si>
    <t>Daňové přiznání za mne po 1.4.2022 podává daňový poradce</t>
  </si>
  <si>
    <t>Nemám povinnost podávat daňové přiznání</t>
  </si>
  <si>
    <t>Daňový základ</t>
  </si>
  <si>
    <t xml:space="preserve">Úhrn zaplacených záloh na pojistné v roce 2021 na účet VZP ČR          </t>
  </si>
  <si>
    <t>Řádek 3</t>
  </si>
  <si>
    <t>Počet měsíců trvání samostatné výdělečné činnosti v roce 2021</t>
  </si>
  <si>
    <t xml:space="preserve">Přeplatek (Doplatek): Řádek 41 - Řádek 16                         </t>
  </si>
  <si>
    <t>Řádek 5</t>
  </si>
  <si>
    <t xml:space="preserve">17 720,50 Kč x Řádek 6         </t>
  </si>
  <si>
    <t>Přeplatek zašlete:</t>
  </si>
  <si>
    <t>na bankovní účet</t>
  </si>
  <si>
    <t>poštovní poukázkou</t>
  </si>
  <si>
    <t>Vyměřovací základ OSVČ za rok 2021: 0,50 x Řádek 3 (pro &lt; Řádek 9, zapíše se Řádek 9)</t>
  </si>
  <si>
    <t>0,135 x 0,5 x Řádek 3 / Řádek 4 (zaokr. na Kč nahoru)</t>
  </si>
  <si>
    <t>Pojistné za rok 2021: 0,135 x (Řádek 14 x Řádek 5) / Řádek 4 (zaokr. na Kč nahoru)</t>
  </si>
  <si>
    <t xml:space="preserve">a) 2 627 Kč </t>
  </si>
  <si>
    <r>
      <t xml:space="preserve">NEŽÁDÁM o vrácení přeplatku </t>
    </r>
    <r>
      <rPr>
        <b/>
        <sz val="7"/>
        <rFont val="Arial"/>
        <family val="2"/>
        <charset val="238"/>
      </rPr>
      <t>(přeplatek bude použit na úhrady záloh v dal.období)</t>
    </r>
  </si>
  <si>
    <t>ZP 87.51/2021</t>
  </si>
  <si>
    <t>DO DAŇOVÉHO PŘIZNÁNÍ K DANI Z PŘIJMŮ PRÁVNICKÝCH/FYZICKÝCH OSOB ZA ROK 2021</t>
  </si>
  <si>
    <t xml:space="preserve">Úhrn zaplacených záloh na pojistné v roce 2021 na účet ZP ČR          </t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</si>
  <si>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</si>
  <si>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</si>
  <si>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</si>
  <si>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</si>
  <si>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</si>
  <si>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</si>
  <si>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</si>
  <si>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</si>
  <si>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</si>
  <si>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</si>
  <si>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</si>
  <si>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</si>
  <si>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</si>
  <si>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</si>
  <si>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kc_10dan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</si>
  <si>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</si>
  <si>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charset val="23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</si>
  <si>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</si>
  <si>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</si>
  <si>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</si>
  <si>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</si>
  <si>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Z Řádku 4 počet měsíců , kdy byla OSVČ pojištěna u ZP ČR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</si>
</sst>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68" formatCode="#,##0.00\ &quot;Kč&quot;"/>
  </numFmts>
  <fonts count="166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6"/>
      <name val="Arial CE"/>
      <charset val="238"/>
    </font>
    <font>
      <b/>
      <sz val="14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6"/>
      <name val="Arial"/>
      <family val="2"/>
      <charset val="238"/>
    </font>
    <font>
      <b/>
      <sz val="10"/>
      <name val="Arial CE"/>
      <family val="2"/>
      <charset val="238"/>
    </font>
    <font>
      <vertAlign val="superscript"/>
      <sz val="8"/>
      <name val="Arial CE"/>
      <family val="2"/>
      <charset val="238"/>
    </font>
    <font>
      <b/>
      <sz val="22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i/>
      <sz val="8"/>
      <name val="Arial CE"/>
      <charset val="238"/>
    </font>
    <font>
      <b/>
      <sz val="12"/>
      <name val="Arial CE"/>
      <charset val="238"/>
    </font>
    <font>
      <sz val="7"/>
      <name val="Arial"/>
      <family val="2"/>
      <charset val="238"/>
    </font>
    <font>
      <sz val="7"/>
      <name val="Arial CE"/>
      <family val="2"/>
      <charset val="238"/>
    </font>
    <font>
      <b/>
      <u/>
      <sz val="14"/>
      <name val="Arial CE"/>
      <family val="2"/>
      <charset val="238"/>
    </font>
    <font>
      <i/>
      <sz val="8"/>
      <name val="Arial"/>
      <family val="2"/>
    </font>
    <font>
      <vertAlign val="superscript"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14"/>
      <name val="Arial CE"/>
      <family val="2"/>
      <charset val="238"/>
    </font>
    <font>
      <b/>
      <i/>
      <sz val="10"/>
      <name val="Arial CE"/>
      <family val="2"/>
      <charset val="238"/>
    </font>
    <font>
      <i/>
      <sz val="10"/>
      <name val="Arial CE"/>
      <family val="2"/>
      <charset val="238"/>
    </font>
    <font>
      <sz val="6"/>
      <name val="Arial CE"/>
      <family val="2"/>
      <charset val="238"/>
    </font>
    <font>
      <b/>
      <vertAlign val="superscript"/>
      <sz val="10"/>
      <name val="Arial"/>
      <family val="2"/>
    </font>
    <font>
      <sz val="9"/>
      <name val="Arial"/>
      <family val="2"/>
      <charset val="238"/>
    </font>
    <font>
      <b/>
      <i/>
      <sz val="8"/>
      <name val="Arial"/>
      <family val="2"/>
    </font>
    <font>
      <b/>
      <i/>
      <sz val="8"/>
      <name val="Arial CE"/>
      <family val="2"/>
      <charset val="238"/>
    </font>
    <font>
      <b/>
      <i/>
      <vertAlign val="superscript"/>
      <sz val="8"/>
      <name val="Arial CE"/>
      <family val="2"/>
      <charset val="238"/>
    </font>
    <font>
      <b/>
      <i/>
      <sz val="8"/>
      <name val="Arial CE"/>
      <charset val="238"/>
    </font>
    <font>
      <i/>
      <sz val="7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b/>
      <u/>
      <sz val="12"/>
      <name val="Arial CE"/>
      <family val="2"/>
      <charset val="238"/>
    </font>
    <font>
      <u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vertAlign val="superscript"/>
      <sz val="8"/>
      <name val="Arial CE"/>
      <family val="2"/>
      <charset val="238"/>
    </font>
    <font>
      <b/>
      <sz val="9"/>
      <name val="Arial CE"/>
      <charset val="238"/>
    </font>
    <font>
      <b/>
      <sz val="8"/>
      <name val="Arial"/>
      <family val="2"/>
      <charset val="238"/>
    </font>
    <font>
      <vertAlign val="superscript"/>
      <sz val="8"/>
      <name val="Arial CE"/>
      <charset val="238"/>
    </font>
    <font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8"/>
      <color indexed="10"/>
      <name val="Arial"/>
      <family val="2"/>
      <charset val="238"/>
    </font>
    <font>
      <b/>
      <sz val="8"/>
      <color indexed="10"/>
      <name val="Arial"/>
      <family val="2"/>
    </font>
    <font>
      <sz val="9"/>
      <name val="Arial CE"/>
      <charset val="238"/>
    </font>
    <font>
      <b/>
      <sz val="24"/>
      <name val="Arial CE"/>
      <charset val="238"/>
    </font>
    <font>
      <b/>
      <u/>
      <sz val="14"/>
      <name val="Arial CE"/>
      <charset val="238"/>
    </font>
    <font>
      <sz val="14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7"/>
      <name val="Arial"/>
      <family val="2"/>
      <charset val="238"/>
    </font>
    <font>
      <b/>
      <sz val="22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sz val="22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10"/>
      <name val="Arial"/>
      <family val="2"/>
      <charset val="238"/>
    </font>
    <font>
      <i/>
      <sz val="8"/>
      <color indexed="10"/>
      <name val="Arial"/>
      <family val="2"/>
      <charset val="238"/>
    </font>
    <font>
      <b/>
      <sz val="9"/>
      <name val="Arial"/>
      <family val="2"/>
      <charset val="238"/>
    </font>
    <font>
      <b/>
      <sz val="18"/>
      <name val="Arial"/>
      <family val="2"/>
      <charset val="238"/>
    </font>
    <font>
      <i/>
      <u/>
      <sz val="10"/>
      <name val="Arial"/>
      <family val="2"/>
      <charset val="238"/>
    </font>
    <font>
      <b/>
      <u/>
      <sz val="10"/>
      <name val="Arial"/>
      <family val="2"/>
      <charset val="238"/>
    </font>
    <font>
      <b/>
      <i/>
      <u/>
      <sz val="8"/>
      <name val="Arial"/>
      <family val="2"/>
      <charset val="238"/>
    </font>
    <font>
      <b/>
      <sz val="14"/>
      <name val="Arial"/>
      <family val="2"/>
    </font>
    <font>
      <b/>
      <sz val="14"/>
      <name val="Arial"/>
      <family val="2"/>
      <charset val="238"/>
    </font>
    <font>
      <b/>
      <sz val="8"/>
      <color indexed="10"/>
      <name val="Arial"/>
      <family val="2"/>
      <charset val="238"/>
    </font>
    <font>
      <sz val="12"/>
      <name val="Arial"/>
      <family val="2"/>
      <charset val="238"/>
    </font>
    <font>
      <b/>
      <sz val="7"/>
      <color indexed="10"/>
      <name val="Arial"/>
      <family val="2"/>
      <charset val="238"/>
    </font>
    <font>
      <b/>
      <i/>
      <sz val="8"/>
      <color indexed="10"/>
      <name val="Arial"/>
      <family val="2"/>
      <charset val="238"/>
    </font>
    <font>
      <i/>
      <sz val="7"/>
      <name val="Arial"/>
      <family val="2"/>
      <charset val="238"/>
    </font>
    <font>
      <sz val="11"/>
      <name val="Courier New"/>
      <family val="3"/>
      <charset val="238"/>
    </font>
    <font>
      <b/>
      <sz val="11"/>
      <name val="Courier New"/>
      <family val="3"/>
      <charset val="238"/>
    </font>
    <font>
      <b/>
      <sz val="18"/>
      <color indexed="10"/>
      <name val="Arial"/>
      <family val="2"/>
      <charset val="238"/>
    </font>
    <font>
      <b/>
      <sz val="20"/>
      <color indexed="10"/>
      <name val="Arial"/>
      <family val="2"/>
      <charset val="238"/>
    </font>
    <font>
      <sz val="11"/>
      <name val="Arial"/>
      <family val="2"/>
      <charset val="238"/>
    </font>
    <font>
      <sz val="7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7"/>
      <color indexed="10"/>
      <name val="Arial"/>
      <family val="2"/>
      <charset val="238"/>
    </font>
    <font>
      <vertAlign val="superscript"/>
      <sz val="7"/>
      <name val="Arial CE"/>
      <charset val="238"/>
    </font>
    <font>
      <u/>
      <sz val="10"/>
      <color indexed="12"/>
      <name val="Arial CE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0"/>
      <name val="Inherit"/>
    </font>
    <font>
      <sz val="9"/>
      <color theme="1"/>
      <name val="Arial"/>
      <family val="2"/>
      <charset val="238"/>
    </font>
    <font>
      <sz val="9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1"/>
      <name val="Tahoma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u/>
      <sz val="11"/>
      <color indexed="12"/>
      <name val="Arial"/>
      <family val="2"/>
      <charset val="238"/>
    </font>
    <font>
      <b/>
      <u/>
      <sz val="11"/>
      <color indexed="12"/>
      <name val="Arial CE"/>
      <charset val="238"/>
    </font>
    <font>
      <sz val="20"/>
      <name val="Arial"/>
      <family val="2"/>
      <charset val="238"/>
    </font>
    <font>
      <sz val="16"/>
      <name val="Arial"/>
      <family val="2"/>
      <charset val="238"/>
    </font>
    <font>
      <b/>
      <vertAlign val="superscript"/>
      <sz val="9"/>
      <name val="Arial CE"/>
      <charset val="238"/>
    </font>
    <font>
      <b/>
      <sz val="10"/>
      <color rgb="FFFF0000"/>
      <name val="Arial"/>
      <family val="2"/>
      <charset val="238"/>
    </font>
    <font>
      <b/>
      <sz val="9"/>
      <color rgb="FFFF0000"/>
      <name val="Arial CE"/>
      <charset val="238"/>
    </font>
    <font>
      <b/>
      <sz val="1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color theme="3"/>
      <name val="Arial"/>
      <family val="2"/>
      <charset val="238"/>
    </font>
    <font>
      <sz val="9"/>
      <color theme="3"/>
      <name val="Arial CE"/>
      <family val="2"/>
      <charset val="238"/>
    </font>
    <font>
      <b/>
      <sz val="12"/>
      <color theme="1"/>
      <name val="Arial"/>
      <family val="2"/>
      <charset val="238"/>
    </font>
    <font>
      <b/>
      <i/>
      <sz val="9"/>
      <name val="Arial"/>
      <family val="2"/>
      <charset val="238"/>
    </font>
    <font>
      <sz val="10"/>
      <color rgb="FF9C0006"/>
      <name val="Arial"/>
      <family val="2"/>
      <charset val="238"/>
    </font>
    <font>
      <b/>
      <u/>
      <sz val="18"/>
      <name val="Arial"/>
      <family val="2"/>
      <charset val="238"/>
    </font>
    <font>
      <sz val="12"/>
      <name val="Arial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u/>
      <sz val="12"/>
      <name val="Arial CE"/>
      <charset val="238"/>
    </font>
    <font>
      <b/>
      <u/>
      <sz val="12"/>
      <color indexed="12"/>
      <name val="Arial"/>
      <family val="2"/>
      <charset val="238"/>
    </font>
    <font>
      <i/>
      <sz val="7"/>
      <color indexed="10"/>
      <name val="Arial"/>
      <family val="2"/>
      <charset val="238"/>
    </font>
    <font>
      <sz val="10"/>
      <name val="Tahoma"/>
      <family val="2"/>
      <charset val="238"/>
    </font>
    <font>
      <sz val="10"/>
      <color indexed="10"/>
      <name val="Arial"/>
      <family val="2"/>
    </font>
    <font>
      <u/>
      <sz val="8"/>
      <name val="Arial"/>
      <family val="2"/>
      <charset val="238"/>
    </font>
    <font>
      <b/>
      <sz val="18"/>
      <color rgb="FFFF0000"/>
      <name val="Arial"/>
      <family val="2"/>
      <charset val="238"/>
    </font>
    <font>
      <i/>
      <sz val="7"/>
      <color rgb="FFFF0000"/>
      <name val="Arial"/>
      <family val="2"/>
      <charset val="238"/>
    </font>
    <font>
      <sz val="7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7"/>
      <color rgb="FFFF0000"/>
      <name val="Arial"/>
      <family val="2"/>
      <charset val="238"/>
    </font>
    <font>
      <i/>
      <sz val="8"/>
      <color rgb="FFFF0000"/>
      <name val="Arial"/>
      <family val="2"/>
      <charset val="238"/>
    </font>
    <font>
      <b/>
      <sz val="10"/>
      <color theme="0"/>
      <name val="Arial"/>
      <family val="2"/>
      <charset val="238"/>
    </font>
    <font>
      <sz val="8"/>
      <color rgb="FFFF0000"/>
      <name val="Arial"/>
      <family val="2"/>
      <charset val="238"/>
    </font>
    <font>
      <sz val="10"/>
      <color theme="0"/>
      <name val="Arial"/>
      <family val="2"/>
      <charset val="238"/>
    </font>
    <font>
      <b/>
      <sz val="8"/>
      <color rgb="FFFF0000"/>
      <name val="Arial CE"/>
      <charset val="238"/>
    </font>
    <font>
      <b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7"/>
      <name val="Arial"/>
      <family val="2"/>
      <charset val="238"/>
    </font>
    <font>
      <vertAlign val="superscript"/>
      <sz val="10"/>
      <name val="Arial CE"/>
      <charset val="238"/>
    </font>
    <font>
      <i/>
      <sz val="10"/>
      <name val="Arial CE"/>
      <charset val="238"/>
    </font>
    <font>
      <vertAlign val="superscript"/>
      <sz val="10"/>
      <name val="Arial"/>
      <family val="2"/>
      <charset val="238"/>
    </font>
    <font>
      <b/>
      <i/>
      <sz val="9"/>
      <name val="Arial CE"/>
      <family val="2"/>
      <charset val="238"/>
    </font>
    <font>
      <sz val="11"/>
      <color indexed="10"/>
      <name val="Courier New"/>
      <family val="3"/>
      <charset val="238"/>
    </font>
    <font>
      <b/>
      <sz val="12"/>
      <color rgb="FFFF0000"/>
      <name val="Arial CE"/>
      <charset val="238"/>
    </font>
    <font>
      <sz val="11"/>
      <color theme="1"/>
      <name val="Tahoma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2"/>
      </patternFill>
    </fill>
    <fill>
      <patternFill patternType="solid">
        <fgColor indexed="8"/>
        <bgColor indexed="32"/>
      </patternFill>
    </fill>
    <fill>
      <patternFill patternType="solid">
        <fgColor indexed="9"/>
        <b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32"/>
      </patternFill>
    </fill>
    <fill>
      <patternFill patternType="solid">
        <fgColor indexed="43"/>
        <bgColor indexed="32"/>
      </patternFill>
    </fill>
    <fill>
      <patternFill patternType="solid">
        <fgColor indexed="24"/>
        <bgColor indexed="32"/>
      </patternFill>
    </fill>
    <fill>
      <patternFill patternType="solid">
        <fgColor indexed="9"/>
        <bgColor indexed="22"/>
      </patternFill>
    </fill>
    <fill>
      <patternFill patternType="solid">
        <fgColor indexed="61"/>
        <bgColor indexed="32"/>
      </patternFill>
    </fill>
    <fill>
      <patternFill patternType="solid">
        <fgColor indexed="31"/>
        <bgColor indexed="32"/>
      </patternFill>
    </fill>
    <fill>
      <patternFill patternType="solid">
        <fgColor indexed="29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32"/>
      </patternFill>
    </fill>
    <fill>
      <patternFill patternType="solid">
        <fgColor theme="0"/>
        <bgColor indexed="22"/>
      </patternFill>
    </fill>
    <fill>
      <patternFill patternType="solid">
        <fgColor theme="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99"/>
        <bgColor indexed="32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32"/>
      </patternFill>
    </fill>
    <fill>
      <patternFill patternType="solid">
        <fgColor rgb="FFFFFF00"/>
        <bgColor indexed="32"/>
      </patternFill>
    </fill>
    <fill>
      <patternFill patternType="solid">
        <fgColor rgb="FFFF9999"/>
        <bgColor indexed="64"/>
      </patternFill>
    </fill>
    <fill>
      <patternFill patternType="solid">
        <fgColor rgb="FFFFFFCC"/>
        <bgColor indexed="22"/>
      </patternFill>
    </fill>
    <fill>
      <patternFill patternType="solid">
        <fgColor theme="0" tint="-0.14999847407452621"/>
        <bgColor indexed="3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CC"/>
        <bgColor indexed="32"/>
      </patternFill>
    </fill>
    <fill>
      <patternFill patternType="solid">
        <fgColor theme="0" tint="-0.24994659260841701"/>
        <bgColor indexed="32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10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10"/>
      </left>
      <right/>
      <top/>
      <bottom/>
      <diagonal/>
    </border>
    <border>
      <left style="thin">
        <color auto="1"/>
      </left>
      <right/>
      <top style="thin">
        <color indexed="10"/>
      </top>
      <bottom/>
      <diagonal/>
    </border>
    <border>
      <left/>
      <right style="thin">
        <color auto="1"/>
      </right>
      <top style="thin">
        <color indexed="10"/>
      </top>
      <bottom/>
      <diagonal/>
    </border>
    <border>
      <left style="thin">
        <color auto="1"/>
      </left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10"/>
      </right>
      <top/>
      <bottom style="thin">
        <color auto="1"/>
      </bottom>
      <diagonal/>
    </border>
    <border>
      <left style="thin">
        <color auto="1"/>
      </left>
      <right style="thin">
        <color indexed="10"/>
      </right>
      <top style="thin">
        <color auto="1"/>
      </top>
      <bottom style="thin">
        <color auto="1"/>
      </bottom>
      <diagonal/>
    </border>
    <border>
      <left/>
      <right style="thin">
        <color indexed="10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3" fontId="3" fillId="0" borderId="0" applyFill="0" applyBorder="0" applyAlignment="0" applyProtection="0"/>
    <xf numFmtId="5" fontId="3" fillId="0" borderId="0" applyFill="0" applyBorder="0" applyAlignment="0" applyProtection="0"/>
    <xf numFmtId="164" fontId="3" fillId="0" borderId="0" applyFill="0" applyBorder="0" applyAlignment="0" applyProtection="0"/>
    <xf numFmtId="2" fontId="3" fillId="0" borderId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0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32" fillId="27" borderId="0" applyNumberFormat="0" applyBorder="0" applyAlignment="0" applyProtection="0"/>
  </cellStyleXfs>
  <cellXfs count="2557">
    <xf numFmtId="0" fontId="0" fillId="0" borderId="0" xfId="0"/>
    <xf numFmtId="0" fontId="0" fillId="0" borderId="0" xfId="0" applyFill="1"/>
    <xf numFmtId="0" fontId="19" fillId="0" borderId="0" xfId="0" applyFont="1" applyFill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16" fillId="2" borderId="0" xfId="0" applyFont="1" applyFill="1"/>
    <xf numFmtId="0" fontId="19" fillId="2" borderId="0" xfId="0" applyFont="1" applyFill="1"/>
    <xf numFmtId="0" fontId="8" fillId="3" borderId="1" xfId="0" applyFont="1" applyFill="1" applyBorder="1" applyAlignment="1">
      <alignment horizontal="center"/>
    </xf>
    <xf numFmtId="0" fontId="5" fillId="2" borderId="2" xfId="0" applyFont="1" applyFill="1" applyBorder="1" applyAlignment="1" applyProtection="1">
      <alignment horizontal="center"/>
      <protection locked="0"/>
    </xf>
    <xf numFmtId="0" fontId="5" fillId="2" borderId="3" xfId="0" applyFont="1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49" fontId="8" fillId="2" borderId="4" xfId="0" applyNumberFormat="1" applyFont="1" applyFill="1" applyBorder="1" applyAlignment="1">
      <alignment horizontal="left" vertical="top"/>
    </xf>
    <xf numFmtId="49" fontId="8" fillId="2" borderId="5" xfId="0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 applyProtection="1">
      <alignment horizontal="center"/>
      <protection locked="0"/>
    </xf>
    <xf numFmtId="0" fontId="8" fillId="3" borderId="8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8" xfId="0" applyFont="1" applyFill="1" applyBorder="1" applyAlignment="1" applyProtection="1">
      <alignment horizontal="center" vertical="center"/>
    </xf>
    <xf numFmtId="0" fontId="8" fillId="3" borderId="5" xfId="0" applyFont="1" applyFill="1" applyBorder="1" applyAlignment="1" applyProtection="1">
      <alignment horizontal="center" vertical="center"/>
    </xf>
    <xf numFmtId="0" fontId="0" fillId="2" borderId="0" xfId="0" applyFill="1" applyProtection="1"/>
    <xf numFmtId="0" fontId="5" fillId="2" borderId="0" xfId="0" applyFont="1" applyFill="1" applyProtection="1"/>
    <xf numFmtId="0" fontId="11" fillId="2" borderId="0" xfId="0" applyFont="1" applyFill="1" applyProtection="1"/>
    <xf numFmtId="0" fontId="0" fillId="4" borderId="0" xfId="0" applyFill="1"/>
    <xf numFmtId="0" fontId="0" fillId="5" borderId="0" xfId="0" applyFill="1"/>
    <xf numFmtId="0" fontId="24" fillId="6" borderId="2" xfId="0" applyFont="1" applyFill="1" applyBorder="1" applyAlignment="1" applyProtection="1">
      <alignment horizontal="center"/>
    </xf>
    <xf numFmtId="0" fontId="24" fillId="6" borderId="1" xfId="0" applyFont="1" applyFill="1" applyBorder="1" applyAlignment="1" applyProtection="1">
      <alignment horizontal="center"/>
    </xf>
    <xf numFmtId="0" fontId="13" fillId="3" borderId="10" xfId="0" applyFont="1" applyFill="1" applyBorder="1" applyAlignment="1" applyProtection="1">
      <alignment horizontal="center"/>
    </xf>
    <xf numFmtId="0" fontId="13" fillId="3" borderId="11" xfId="0" applyFont="1" applyFill="1" applyBorder="1" applyAlignment="1" applyProtection="1">
      <alignment horizontal="center"/>
    </xf>
    <xf numFmtId="49" fontId="25" fillId="2" borderId="2" xfId="0" applyNumberFormat="1" applyFont="1" applyFill="1" applyBorder="1" applyAlignment="1" applyProtection="1">
      <alignment horizontal="center"/>
      <protection locked="0"/>
    </xf>
    <xf numFmtId="49" fontId="26" fillId="7" borderId="2" xfId="0" applyNumberFormat="1" applyFont="1" applyFill="1" applyBorder="1" applyAlignment="1" applyProtection="1">
      <alignment horizontal="center"/>
      <protection locked="0"/>
    </xf>
    <xf numFmtId="10" fontId="5" fillId="2" borderId="1" xfId="0" applyNumberFormat="1" applyFont="1" applyFill="1" applyBorder="1" applyAlignment="1" applyProtection="1">
      <alignment horizontal="center"/>
      <protection locked="0"/>
    </xf>
    <xf numFmtId="10" fontId="5" fillId="2" borderId="2" xfId="0" applyNumberFormat="1" applyFont="1" applyFill="1" applyBorder="1" applyAlignment="1" applyProtection="1">
      <alignment horizontal="center"/>
      <protection locked="0"/>
    </xf>
    <xf numFmtId="10" fontId="5" fillId="2" borderId="3" xfId="0" applyNumberFormat="1" applyFont="1" applyFill="1" applyBorder="1" applyAlignment="1" applyProtection="1">
      <alignment horizontal="center"/>
      <protection locked="0"/>
    </xf>
    <xf numFmtId="10" fontId="5" fillId="2" borderId="9" xfId="0" applyNumberFormat="1" applyFont="1" applyFill="1" applyBorder="1" applyAlignment="1" applyProtection="1">
      <alignment horizontal="center"/>
      <protection locked="0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1" xfId="0" applyFont="1" applyFill="1" applyBorder="1" applyAlignment="1" applyProtection="1">
      <alignment horizontal="center" vertical="center" wrapText="1"/>
    </xf>
    <xf numFmtId="0" fontId="24" fillId="7" borderId="12" xfId="0" applyFont="1" applyFill="1" applyBorder="1" applyAlignment="1" applyProtection="1">
      <alignment vertical="top"/>
    </xf>
    <xf numFmtId="0" fontId="24" fillId="7" borderId="13" xfId="0" applyFont="1" applyFill="1" applyBorder="1" applyAlignment="1" applyProtection="1">
      <alignment vertical="top"/>
    </xf>
    <xf numFmtId="10" fontId="0" fillId="7" borderId="14" xfId="0" applyNumberFormat="1" applyFill="1" applyBorder="1" applyAlignment="1" applyProtection="1">
      <alignment horizontal="right"/>
      <protection locked="0"/>
    </xf>
    <xf numFmtId="0" fontId="13" fillId="3" borderId="10" xfId="0" applyFont="1" applyFill="1" applyBorder="1" applyAlignment="1" applyProtection="1">
      <alignment horizontal="center" vertical="center"/>
    </xf>
    <xf numFmtId="0" fontId="13" fillId="3" borderId="11" xfId="0" applyFont="1" applyFill="1" applyBorder="1" applyAlignment="1" applyProtection="1">
      <alignment horizontal="center" vertical="center"/>
    </xf>
    <xf numFmtId="0" fontId="13" fillId="3" borderId="8" xfId="0" applyFont="1" applyFill="1" applyBorder="1" applyAlignment="1" applyProtection="1">
      <alignment horizontal="center" vertical="center"/>
    </xf>
    <xf numFmtId="0" fontId="13" fillId="3" borderId="5" xfId="0" applyFont="1" applyFill="1" applyBorder="1" applyAlignment="1" applyProtection="1">
      <alignment horizontal="center" vertical="center"/>
    </xf>
    <xf numFmtId="0" fontId="13" fillId="3" borderId="15" xfId="0" applyFont="1" applyFill="1" applyBorder="1" applyAlignment="1" applyProtection="1">
      <alignment horizontal="center" vertical="center"/>
    </xf>
    <xf numFmtId="0" fontId="0" fillId="8" borderId="0" xfId="0" applyFill="1"/>
    <xf numFmtId="0" fontId="5" fillId="8" borderId="0" xfId="0" applyFont="1" applyFill="1"/>
    <xf numFmtId="0" fontId="30" fillId="9" borderId="0" xfId="0" applyFont="1" applyFill="1"/>
    <xf numFmtId="0" fontId="6" fillId="9" borderId="16" xfId="0" applyFont="1" applyFill="1" applyBorder="1"/>
    <xf numFmtId="0" fontId="6" fillId="9" borderId="17" xfId="0" applyFont="1" applyFill="1" applyBorder="1" applyAlignment="1">
      <alignment horizontal="center"/>
    </xf>
    <xf numFmtId="0" fontId="6" fillId="9" borderId="18" xfId="0" applyFont="1" applyFill="1" applyBorder="1" applyAlignment="1">
      <alignment horizontal="center"/>
    </xf>
    <xf numFmtId="0" fontId="5" fillId="9" borderId="4" xfId="0" applyFont="1" applyFill="1" applyBorder="1"/>
    <xf numFmtId="0" fontId="5" fillId="9" borderId="8" xfId="0" applyFont="1" applyFill="1" applyBorder="1"/>
    <xf numFmtId="0" fontId="38" fillId="9" borderId="8" xfId="0" applyFont="1" applyFill="1" applyBorder="1"/>
    <xf numFmtId="0" fontId="5" fillId="9" borderId="5" xfId="0" applyFont="1" applyFill="1" applyBorder="1"/>
    <xf numFmtId="0" fontId="6" fillId="9" borderId="19" xfId="0" applyFont="1" applyFill="1" applyBorder="1"/>
    <xf numFmtId="0" fontId="5" fillId="9" borderId="20" xfId="0" applyFont="1" applyFill="1" applyBorder="1"/>
    <xf numFmtId="0" fontId="6" fillId="9" borderId="21" xfId="0" applyFont="1" applyFill="1" applyBorder="1" applyAlignment="1">
      <alignment horizontal="center"/>
    </xf>
    <xf numFmtId="0" fontId="5" fillId="9" borderId="22" xfId="0" applyFont="1" applyFill="1" applyBorder="1"/>
    <xf numFmtId="0" fontId="5" fillId="9" borderId="23" xfId="0" applyFont="1" applyFill="1" applyBorder="1"/>
    <xf numFmtId="0" fontId="5" fillId="9" borderId="24" xfId="0" applyFont="1" applyFill="1" applyBorder="1"/>
    <xf numFmtId="0" fontId="5" fillId="9" borderId="0" xfId="0" applyFont="1" applyFill="1" applyBorder="1"/>
    <xf numFmtId="0" fontId="39" fillId="9" borderId="8" xfId="0" applyFont="1" applyFill="1" applyBorder="1"/>
    <xf numFmtId="0" fontId="39" fillId="9" borderId="25" xfId="0" applyFont="1" applyFill="1" applyBorder="1"/>
    <xf numFmtId="0" fontId="38" fillId="9" borderId="15" xfId="0" applyFont="1" applyFill="1" applyBorder="1"/>
    <xf numFmtId="3" fontId="25" fillId="7" borderId="2" xfId="0" applyNumberFormat="1" applyFont="1" applyFill="1" applyBorder="1" applyAlignment="1" applyProtection="1">
      <alignment horizontal="center" vertical="center"/>
    </xf>
    <xf numFmtId="3" fontId="25" fillId="7" borderId="3" xfId="0" applyNumberFormat="1" applyFont="1" applyFill="1" applyBorder="1" applyAlignment="1" applyProtection="1">
      <alignment horizontal="center" vertical="center"/>
    </xf>
    <xf numFmtId="0" fontId="25" fillId="3" borderId="1" xfId="0" applyFont="1" applyFill="1" applyBorder="1" applyAlignment="1" applyProtection="1">
      <alignment horizontal="left"/>
    </xf>
    <xf numFmtId="0" fontId="20" fillId="3" borderId="0" xfId="0" applyFont="1" applyFill="1" applyAlignment="1">
      <alignment horizontal="right"/>
    </xf>
    <xf numFmtId="0" fontId="27" fillId="3" borderId="0" xfId="0" applyFont="1" applyFill="1" applyBorder="1" applyAlignment="1">
      <alignment horizontal="center"/>
    </xf>
    <xf numFmtId="0" fontId="13" fillId="3" borderId="0" xfId="0" applyFont="1" applyFill="1" applyAlignment="1">
      <alignment horizontal="left"/>
    </xf>
    <xf numFmtId="0" fontId="20" fillId="2" borderId="2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horizontal="center" wrapText="1"/>
    </xf>
    <xf numFmtId="0" fontId="13" fillId="3" borderId="25" xfId="0" applyFont="1" applyFill="1" applyBorder="1" applyAlignment="1">
      <alignment horizontal="center" wrapText="1"/>
    </xf>
    <xf numFmtId="0" fontId="0" fillId="6" borderId="25" xfId="0" applyFill="1" applyBorder="1" applyAlignment="1">
      <alignment horizontal="left" wrapText="1"/>
    </xf>
    <xf numFmtId="0" fontId="0" fillId="7" borderId="0" xfId="0" applyFill="1"/>
    <xf numFmtId="0" fontId="13" fillId="3" borderId="26" xfId="0" applyFont="1" applyFill="1" applyBorder="1" applyAlignment="1">
      <alignment horizontal="center"/>
    </xf>
    <xf numFmtId="3" fontId="25" fillId="7" borderId="1" xfId="0" applyNumberFormat="1" applyFont="1" applyFill="1" applyBorder="1" applyAlignment="1" applyProtection="1">
      <alignment horizontal="center" vertical="center"/>
    </xf>
    <xf numFmtId="3" fontId="13" fillId="6" borderId="27" xfId="0" applyNumberFormat="1" applyFont="1" applyFill="1" applyBorder="1" applyAlignment="1" applyProtection="1">
      <alignment horizontal="center" vertical="center" wrapText="1" shrinkToFit="1"/>
    </xf>
    <xf numFmtId="0" fontId="11" fillId="6" borderId="6" xfId="0" applyFont="1" applyFill="1" applyBorder="1" applyAlignment="1">
      <alignment horizontal="center" wrapText="1" shrinkToFit="1"/>
    </xf>
    <xf numFmtId="0" fontId="13" fillId="3" borderId="16" xfId="0" applyFont="1" applyFill="1" applyBorder="1" applyAlignment="1" applyProtection="1">
      <alignment horizontal="center" vertical="center"/>
    </xf>
    <xf numFmtId="0" fontId="36" fillId="0" borderId="0" xfId="0" applyFont="1"/>
    <xf numFmtId="0" fontId="36" fillId="7" borderId="0" xfId="0" applyFont="1" applyFill="1"/>
    <xf numFmtId="0" fontId="13" fillId="3" borderId="28" xfId="0" applyFont="1" applyFill="1" applyBorder="1" applyAlignment="1" applyProtection="1">
      <alignment horizontal="center" vertical="center"/>
    </xf>
    <xf numFmtId="0" fontId="25" fillId="3" borderId="29" xfId="0" applyFont="1" applyFill="1" applyBorder="1" applyAlignment="1" applyProtection="1">
      <alignment horizontal="left"/>
    </xf>
    <xf numFmtId="0" fontId="25" fillId="3" borderId="21" xfId="0" applyFont="1" applyFill="1" applyBorder="1" applyAlignment="1" applyProtection="1">
      <alignment horizontal="left"/>
    </xf>
    <xf numFmtId="0" fontId="13" fillId="3" borderId="1" xfId="0" applyFont="1" applyFill="1" applyBorder="1" applyAlignment="1">
      <alignment horizontal="center"/>
    </xf>
    <xf numFmtId="0" fontId="0" fillId="0" borderId="0" xfId="0" applyAlignment="1"/>
    <xf numFmtId="0" fontId="0" fillId="7" borderId="0" xfId="0" applyFill="1" applyAlignment="1"/>
    <xf numFmtId="0" fontId="0" fillId="6" borderId="30" xfId="0" applyFill="1" applyBorder="1" applyAlignment="1"/>
    <xf numFmtId="0" fontId="8" fillId="3" borderId="10" xfId="0" applyFont="1" applyFill="1" applyBorder="1" applyAlignment="1" applyProtection="1">
      <alignment horizontal="center"/>
    </xf>
    <xf numFmtId="0" fontId="25" fillId="7" borderId="2" xfId="0" applyFont="1" applyFill="1" applyBorder="1" applyAlignment="1" applyProtection="1">
      <alignment horizontal="center" vertical="center"/>
      <protection locked="0"/>
    </xf>
    <xf numFmtId="0" fontId="20" fillId="2" borderId="21" xfId="0" applyFont="1" applyFill="1" applyBorder="1" applyAlignment="1" applyProtection="1">
      <alignment horizontal="center" vertical="center"/>
      <protection locked="0"/>
    </xf>
    <xf numFmtId="3" fontId="25" fillId="7" borderId="9" xfId="0" applyNumberFormat="1" applyFont="1" applyFill="1" applyBorder="1" applyAlignment="1" applyProtection="1">
      <alignment horizontal="center" vertical="center"/>
    </xf>
    <xf numFmtId="49" fontId="0" fillId="7" borderId="31" xfId="0" applyNumberFormat="1" applyFill="1" applyBorder="1" applyAlignment="1" applyProtection="1">
      <alignment horizontal="right"/>
      <protection locked="0"/>
    </xf>
    <xf numFmtId="49" fontId="3" fillId="7" borderId="2" xfId="0" applyNumberFormat="1" applyFont="1" applyFill="1" applyBorder="1" applyAlignment="1" applyProtection="1">
      <alignment horizontal="center"/>
      <protection locked="0"/>
    </xf>
    <xf numFmtId="49" fontId="53" fillId="7" borderId="2" xfId="0" applyNumberFormat="1" applyFont="1" applyFill="1" applyBorder="1" applyAlignment="1" applyProtection="1">
      <alignment horizontal="center"/>
      <protection locked="0"/>
    </xf>
    <xf numFmtId="10" fontId="53" fillId="7" borderId="2" xfId="0" applyNumberFormat="1" applyFont="1" applyFill="1" applyBorder="1" applyAlignment="1" applyProtection="1">
      <alignment horizontal="center"/>
      <protection locked="0"/>
    </xf>
    <xf numFmtId="10" fontId="53" fillId="7" borderId="1" xfId="0" applyNumberFormat="1" applyFont="1" applyFill="1" applyBorder="1" applyAlignment="1" applyProtection="1">
      <alignment horizontal="center"/>
      <protection locked="0"/>
    </xf>
    <xf numFmtId="49" fontId="53" fillId="7" borderId="3" xfId="0" applyNumberFormat="1" applyFont="1" applyFill="1" applyBorder="1" applyAlignment="1" applyProtection="1">
      <alignment horizontal="center"/>
      <protection locked="0"/>
    </xf>
    <xf numFmtId="0" fontId="25" fillId="2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Protection="1">
      <protection locked="0"/>
    </xf>
    <xf numFmtId="0" fontId="0" fillId="5" borderId="0" xfId="0" applyFill="1" applyAlignment="1">
      <alignment wrapText="1"/>
    </xf>
    <xf numFmtId="0" fontId="18" fillId="2" borderId="19" xfId="0" applyFont="1" applyFill="1" applyBorder="1" applyAlignment="1" applyProtection="1"/>
    <xf numFmtId="0" fontId="0" fillId="7" borderId="0" xfId="0" applyFill="1" applyBorder="1" applyAlignment="1"/>
    <xf numFmtId="0" fontId="0" fillId="7" borderId="32" xfId="0" applyFill="1" applyBorder="1" applyAlignment="1"/>
    <xf numFmtId="0" fontId="5" fillId="3" borderId="0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24" fillId="6" borderId="20" xfId="0" applyFont="1" applyFill="1" applyBorder="1" applyAlignment="1">
      <alignment vertical="center"/>
    </xf>
    <xf numFmtId="3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49" fontId="8" fillId="2" borderId="33" xfId="0" applyNumberFormat="1" applyFont="1" applyFill="1" applyBorder="1" applyAlignment="1">
      <alignment horizontal="left" vertical="top" wrapText="1"/>
    </xf>
    <xf numFmtId="0" fontId="0" fillId="2" borderId="0" xfId="0" applyFill="1" applyAlignment="1" applyProtection="1">
      <alignment vertical="center"/>
    </xf>
    <xf numFmtId="0" fontId="27" fillId="0" borderId="2" xfId="0" applyFont="1" applyBorder="1" applyAlignment="1" applyProtection="1">
      <alignment horizontal="center" vertical="center"/>
      <protection locked="0"/>
    </xf>
    <xf numFmtId="0" fontId="0" fillId="6" borderId="34" xfId="0" applyFill="1" applyBorder="1" applyAlignment="1">
      <alignment vertical="center" wrapText="1"/>
    </xf>
    <xf numFmtId="0" fontId="8" fillId="3" borderId="35" xfId="0" applyFont="1" applyFill="1" applyBorder="1" applyAlignment="1" applyProtection="1">
      <alignment horizontal="center" vertical="center"/>
    </xf>
    <xf numFmtId="0" fontId="14" fillId="3" borderId="0" xfId="0" applyFont="1" applyFill="1" applyBorder="1" applyAlignment="1">
      <alignment wrapText="1" shrinkToFit="1"/>
    </xf>
    <xf numFmtId="0" fontId="8" fillId="3" borderId="4" xfId="0" applyFont="1" applyFill="1" applyBorder="1" applyAlignment="1" applyProtection="1">
      <alignment horizontal="center" vertical="center"/>
    </xf>
    <xf numFmtId="0" fontId="13" fillId="3" borderId="27" xfId="0" applyFont="1" applyFill="1" applyBorder="1" applyAlignment="1" applyProtection="1">
      <alignment horizontal="center" wrapText="1"/>
    </xf>
    <xf numFmtId="0" fontId="13" fillId="3" borderId="4" xfId="0" applyFont="1" applyFill="1" applyBorder="1" applyAlignment="1" applyProtection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right" vertical="center"/>
    </xf>
    <xf numFmtId="0" fontId="11" fillId="6" borderId="37" xfId="0" applyFont="1" applyFill="1" applyBorder="1" applyAlignment="1">
      <alignment horizontal="right" vertical="center" wrapText="1"/>
    </xf>
    <xf numFmtId="0" fontId="0" fillId="10" borderId="0" xfId="0" applyFill="1"/>
    <xf numFmtId="0" fontId="63" fillId="10" borderId="0" xfId="0" applyFont="1" applyFill="1"/>
    <xf numFmtId="0" fontId="63" fillId="5" borderId="0" xfId="0" applyFont="1" applyFill="1"/>
    <xf numFmtId="0" fontId="25" fillId="6" borderId="2" xfId="0" applyFont="1" applyFill="1" applyBorder="1" applyAlignment="1" applyProtection="1">
      <alignment horizontal="center" vertical="center"/>
    </xf>
    <xf numFmtId="0" fontId="25" fillId="6" borderId="3" xfId="0" applyFont="1" applyFill="1" applyBorder="1" applyAlignment="1" applyProtection="1">
      <alignment horizontal="center" vertical="center"/>
    </xf>
    <xf numFmtId="14" fontId="13" fillId="3" borderId="0" xfId="0" applyNumberFormat="1" applyFont="1" applyFill="1" applyBorder="1" applyAlignment="1" applyProtection="1">
      <alignment horizontal="right"/>
    </xf>
    <xf numFmtId="49" fontId="5" fillId="2" borderId="0" xfId="0" applyNumberFormat="1" applyFont="1" applyFill="1" applyBorder="1" applyAlignment="1" applyProtection="1">
      <alignment horizontal="center"/>
    </xf>
    <xf numFmtId="49" fontId="0" fillId="7" borderId="0" xfId="0" applyNumberFormat="1" applyFill="1" applyBorder="1" applyAlignment="1" applyProtection="1">
      <alignment horizontal="center"/>
    </xf>
    <xf numFmtId="0" fontId="25" fillId="6" borderId="2" xfId="0" applyFont="1" applyFill="1" applyBorder="1" applyAlignment="1" applyProtection="1">
      <alignment vertical="center"/>
    </xf>
    <xf numFmtId="0" fontId="25" fillId="6" borderId="38" xfId="0" applyFont="1" applyFill="1" applyBorder="1" applyAlignment="1" applyProtection="1">
      <alignment vertical="center"/>
    </xf>
    <xf numFmtId="0" fontId="25" fillId="6" borderId="3" xfId="0" applyFont="1" applyFill="1" applyBorder="1" applyAlignment="1" applyProtection="1">
      <alignment vertical="center"/>
    </xf>
    <xf numFmtId="0" fontId="26" fillId="7" borderId="39" xfId="0" applyFont="1" applyFill="1" applyBorder="1" applyAlignment="1" applyProtection="1">
      <alignment horizontal="center"/>
      <protection locked="0"/>
    </xf>
    <xf numFmtId="0" fontId="13" fillId="3" borderId="40" xfId="0" applyFont="1" applyFill="1" applyBorder="1" applyAlignment="1">
      <alignment wrapText="1"/>
    </xf>
    <xf numFmtId="0" fontId="24" fillId="6" borderId="40" xfId="0" applyFont="1" applyFill="1" applyBorder="1" applyAlignment="1"/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25" fillId="2" borderId="39" xfId="0" applyFont="1" applyFill="1" applyBorder="1" applyAlignment="1" applyProtection="1">
      <alignment horizontal="center" wrapText="1"/>
      <protection locked="0"/>
    </xf>
    <xf numFmtId="0" fontId="25" fillId="2" borderId="41" xfId="0" applyFont="1" applyFill="1" applyBorder="1" applyAlignment="1" applyProtection="1">
      <alignment horizontal="center" wrapText="1"/>
      <protection locked="0"/>
    </xf>
    <xf numFmtId="3" fontId="5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7" borderId="0" xfId="0" applyFill="1" applyAlignment="1">
      <alignment vertical="center"/>
    </xf>
    <xf numFmtId="0" fontId="0" fillId="7" borderId="2" xfId="0" applyFill="1" applyBorder="1" applyAlignment="1" applyProtection="1">
      <alignment vertical="center"/>
      <protection locked="0"/>
    </xf>
    <xf numFmtId="0" fontId="0" fillId="6" borderId="2" xfId="0" applyFill="1" applyBorder="1" applyAlignment="1">
      <alignment vertical="center"/>
    </xf>
    <xf numFmtId="4" fontId="5" fillId="2" borderId="27" xfId="0" applyNumberFormat="1" applyFont="1" applyFill="1" applyBorder="1" applyProtection="1">
      <protection locked="0"/>
    </xf>
    <xf numFmtId="4" fontId="5" fillId="2" borderId="6" xfId="0" applyNumberFormat="1" applyFont="1" applyFill="1" applyBorder="1" applyProtection="1">
      <protection locked="0"/>
    </xf>
    <xf numFmtId="4" fontId="5" fillId="2" borderId="2" xfId="0" applyNumberFormat="1" applyFont="1" applyFill="1" applyBorder="1" applyProtection="1">
      <protection locked="0"/>
    </xf>
    <xf numFmtId="4" fontId="5" fillId="2" borderId="43" xfId="0" applyNumberFormat="1" applyFont="1" applyFill="1" applyBorder="1" applyProtection="1">
      <protection locked="0"/>
    </xf>
    <xf numFmtId="4" fontId="20" fillId="2" borderId="2" xfId="0" applyNumberFormat="1" applyFont="1" applyFill="1" applyBorder="1"/>
    <xf numFmtId="4" fontId="20" fillId="2" borderId="43" xfId="0" applyNumberFormat="1" applyFont="1" applyFill="1" applyBorder="1"/>
    <xf numFmtId="4" fontId="5" fillId="2" borderId="3" xfId="0" applyNumberFormat="1" applyFont="1" applyFill="1" applyBorder="1"/>
    <xf numFmtId="4" fontId="5" fillId="2" borderId="44" xfId="0" applyNumberFormat="1" applyFont="1" applyFill="1" applyBorder="1"/>
    <xf numFmtId="4" fontId="5" fillId="9" borderId="45" xfId="0" applyNumberFormat="1" applyFont="1" applyFill="1" applyBorder="1"/>
    <xf numFmtId="4" fontId="5" fillId="9" borderId="32" xfId="0" applyNumberFormat="1" applyFont="1" applyFill="1" applyBorder="1"/>
    <xf numFmtId="4" fontId="5" fillId="2" borderId="36" xfId="0" applyNumberFormat="1" applyFont="1" applyFill="1" applyBorder="1" applyProtection="1">
      <protection locked="0"/>
    </xf>
    <xf numFmtId="4" fontId="5" fillId="2" borderId="1" xfId="0" applyNumberFormat="1" applyFont="1" applyFill="1" applyBorder="1" applyProtection="1">
      <protection locked="0"/>
    </xf>
    <xf numFmtId="4" fontId="20" fillId="2" borderId="29" xfId="0" applyNumberFormat="1" applyFont="1" applyFill="1" applyBorder="1" applyProtection="1"/>
    <xf numFmtId="4" fontId="5" fillId="2" borderId="9" xfId="0" applyNumberFormat="1" applyFont="1" applyFill="1" applyBorder="1"/>
    <xf numFmtId="4" fontId="5" fillId="9" borderId="46" xfId="0" applyNumberFormat="1" applyFont="1" applyFill="1" applyBorder="1"/>
    <xf numFmtId="0" fontId="8" fillId="3" borderId="15" xfId="0" applyFont="1" applyFill="1" applyBorder="1" applyAlignment="1" applyProtection="1">
      <alignment horizontal="center" vertical="center"/>
    </xf>
    <xf numFmtId="0" fontId="27" fillId="0" borderId="21" xfId="0" applyFont="1" applyBorder="1" applyAlignment="1" applyProtection="1">
      <alignment horizontal="center" vertical="center"/>
      <protection locked="0"/>
    </xf>
    <xf numFmtId="0" fontId="11" fillId="6" borderId="0" xfId="0" applyFont="1" applyFill="1" applyAlignment="1">
      <alignment horizontal="left" vertical="center"/>
    </xf>
    <xf numFmtId="0" fontId="71" fillId="7" borderId="0" xfId="0" applyFont="1" applyFill="1"/>
    <xf numFmtId="0" fontId="71" fillId="0" borderId="0" xfId="0" applyFont="1"/>
    <xf numFmtId="10" fontId="25" fillId="2" borderId="2" xfId="0" applyNumberFormat="1" applyFont="1" applyFill="1" applyBorder="1" applyAlignment="1" applyProtection="1">
      <alignment horizontal="center" vertical="center"/>
    </xf>
    <xf numFmtId="0" fontId="6" fillId="3" borderId="0" xfId="0" applyFont="1" applyFill="1" applyAlignment="1">
      <alignment horizontal="center" vertical="center"/>
    </xf>
    <xf numFmtId="14" fontId="20" fillId="2" borderId="2" xfId="0" applyNumberFormat="1" applyFont="1" applyFill="1" applyBorder="1" applyAlignment="1" applyProtection="1">
      <alignment horizontal="center" vertical="center"/>
      <protection locked="0"/>
    </xf>
    <xf numFmtId="0" fontId="67" fillId="5" borderId="0" xfId="0" applyFont="1" applyFill="1"/>
    <xf numFmtId="0" fontId="67" fillId="0" borderId="0" xfId="0" applyFont="1"/>
    <xf numFmtId="0" fontId="73" fillId="7" borderId="41" xfId="0" applyFont="1" applyFill="1" applyBorder="1" applyAlignment="1" applyProtection="1">
      <alignment horizontal="center" vertical="center"/>
    </xf>
    <xf numFmtId="0" fontId="0" fillId="0" borderId="41" xfId="0" applyBorder="1" applyAlignment="1" applyProtection="1">
      <alignment vertical="center"/>
    </xf>
    <xf numFmtId="0" fontId="73" fillId="7" borderId="2" xfId="0" applyFont="1" applyFill="1" applyBorder="1" applyAlignment="1">
      <alignment horizontal="center" vertical="center"/>
    </xf>
    <xf numFmtId="0" fontId="0" fillId="7" borderId="41" xfId="0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0" fillId="7" borderId="0" xfId="0" applyFont="1" applyFill="1" applyAlignment="1">
      <alignment horizontal="center" vertical="center"/>
    </xf>
    <xf numFmtId="0" fontId="81" fillId="5" borderId="0" xfId="0" applyFont="1" applyFill="1"/>
    <xf numFmtId="0" fontId="16" fillId="7" borderId="0" xfId="0" applyFont="1" applyFill="1" applyAlignment="1">
      <alignment horizontal="center" vertical="center"/>
    </xf>
    <xf numFmtId="0" fontId="82" fillId="7" borderId="0" xfId="0" applyFont="1" applyFill="1" applyAlignment="1">
      <alignment horizontal="center" vertical="center"/>
    </xf>
    <xf numFmtId="0" fontId="0" fillId="7" borderId="0" xfId="0" applyFill="1" applyAlignment="1">
      <alignment horizontal="right" vertical="center"/>
    </xf>
    <xf numFmtId="0" fontId="0" fillId="7" borderId="49" xfId="0" applyFill="1" applyBorder="1" applyAlignment="1" applyProtection="1">
      <alignment vertical="center"/>
      <protection locked="0"/>
    </xf>
    <xf numFmtId="0" fontId="0" fillId="7" borderId="0" xfId="0" applyFill="1" applyBorder="1" applyAlignment="1" applyProtection="1">
      <alignment vertical="center"/>
      <protection locked="0"/>
    </xf>
    <xf numFmtId="0" fontId="81" fillId="7" borderId="0" xfId="0" applyFont="1" applyFill="1" applyAlignment="1">
      <alignment vertical="center"/>
    </xf>
    <xf numFmtId="0" fontId="81" fillId="7" borderId="0" xfId="0" applyFont="1" applyFill="1" applyAlignment="1">
      <alignment horizontal="right" vertical="center"/>
    </xf>
    <xf numFmtId="0" fontId="0" fillId="7" borderId="50" xfId="0" applyFill="1" applyBorder="1" applyAlignment="1" applyProtection="1">
      <alignment vertical="center"/>
      <protection locked="0"/>
    </xf>
    <xf numFmtId="0" fontId="70" fillId="11" borderId="0" xfId="0" applyFont="1" applyFill="1" applyAlignment="1">
      <alignment vertical="center"/>
    </xf>
    <xf numFmtId="0" fontId="70" fillId="11" borderId="0" xfId="0" applyFont="1" applyFill="1" applyAlignment="1">
      <alignment horizontal="right" vertical="center"/>
    </xf>
    <xf numFmtId="0" fontId="70" fillId="6" borderId="0" xfId="0" applyFont="1" applyFill="1" applyAlignment="1">
      <alignment vertical="center"/>
    </xf>
    <xf numFmtId="0" fontId="70" fillId="6" borderId="0" xfId="0" applyFont="1" applyFill="1" applyAlignment="1">
      <alignment horizontal="right" vertical="center"/>
    </xf>
    <xf numFmtId="0" fontId="70" fillId="7" borderId="0" xfId="0" applyFont="1" applyFill="1" applyAlignment="1">
      <alignment vertical="center"/>
    </xf>
    <xf numFmtId="0" fontId="0" fillId="6" borderId="51" xfId="0" applyFill="1" applyBorder="1" applyAlignment="1" applyProtection="1">
      <alignment vertical="center"/>
      <protection locked="0"/>
    </xf>
    <xf numFmtId="0" fontId="0" fillId="6" borderId="52" xfId="0" applyFill="1" applyBorder="1" applyAlignment="1" applyProtection="1">
      <alignment vertical="center"/>
      <protection locked="0"/>
    </xf>
    <xf numFmtId="0" fontId="0" fillId="11" borderId="53" xfId="0" applyFill="1" applyBorder="1" applyAlignment="1" applyProtection="1">
      <alignment vertical="center"/>
      <protection locked="0"/>
    </xf>
    <xf numFmtId="14" fontId="0" fillId="6" borderId="52" xfId="0" applyNumberFormat="1" applyFill="1" applyBorder="1" applyAlignment="1" applyProtection="1">
      <alignment horizontal="left" vertical="center"/>
      <protection locked="0"/>
    </xf>
    <xf numFmtId="49" fontId="0" fillId="6" borderId="52" xfId="0" applyNumberFormat="1" applyFill="1" applyBorder="1" applyAlignment="1" applyProtection="1">
      <alignment horizontal="left" vertical="center"/>
      <protection locked="0"/>
    </xf>
    <xf numFmtId="49" fontId="0" fillId="11" borderId="53" xfId="0" applyNumberFormat="1" applyFill="1" applyBorder="1" applyAlignment="1" applyProtection="1">
      <alignment vertical="center"/>
      <protection locked="0"/>
    </xf>
    <xf numFmtId="0" fontId="0" fillId="12" borderId="52" xfId="0" applyFill="1" applyBorder="1" applyAlignment="1" applyProtection="1">
      <alignment vertical="center"/>
      <protection locked="0"/>
    </xf>
    <xf numFmtId="0" fontId="0" fillId="12" borderId="53" xfId="0" applyFill="1" applyBorder="1" applyAlignment="1" applyProtection="1">
      <alignment vertical="center"/>
      <protection locked="0"/>
    </xf>
    <xf numFmtId="49" fontId="0" fillId="12" borderId="52" xfId="0" applyNumberFormat="1" applyFill="1" applyBorder="1" applyAlignment="1" applyProtection="1">
      <alignment horizontal="left" vertical="center"/>
      <protection locked="0"/>
    </xf>
    <xf numFmtId="3" fontId="0" fillId="12" borderId="53" xfId="0" applyNumberFormat="1" applyFill="1" applyBorder="1" applyAlignment="1" applyProtection="1">
      <alignment horizontal="left" vertical="center"/>
      <protection locked="0"/>
    </xf>
    <xf numFmtId="3" fontId="0" fillId="12" borderId="52" xfId="0" applyNumberFormat="1" applyFill="1" applyBorder="1" applyAlignment="1" applyProtection="1">
      <alignment horizontal="left" vertical="center"/>
      <protection locked="0"/>
    </xf>
    <xf numFmtId="0" fontId="0" fillId="12" borderId="53" xfId="0" applyFill="1" applyBorder="1" applyAlignment="1" applyProtection="1">
      <alignment horizontal="left" vertical="center"/>
      <protection locked="0"/>
    </xf>
    <xf numFmtId="49" fontId="0" fillId="12" borderId="53" xfId="0" applyNumberFormat="1" applyFill="1" applyBorder="1" applyAlignment="1" applyProtection="1">
      <alignment horizontal="left" vertical="center"/>
      <protection locked="0"/>
    </xf>
    <xf numFmtId="0" fontId="0" fillId="12" borderId="54" xfId="0" applyFill="1" applyBorder="1" applyAlignment="1" applyProtection="1">
      <alignment vertical="center"/>
      <protection locked="0"/>
    </xf>
    <xf numFmtId="0" fontId="0" fillId="12" borderId="55" xfId="0" applyFill="1" applyBorder="1" applyAlignment="1" applyProtection="1">
      <alignment vertical="center"/>
      <protection locked="0"/>
    </xf>
    <xf numFmtId="0" fontId="70" fillId="12" borderId="0" xfId="0" applyFont="1" applyFill="1" applyAlignment="1">
      <alignment vertical="center"/>
    </xf>
    <xf numFmtId="0" fontId="70" fillId="12" borderId="0" xfId="0" applyFont="1" applyFill="1" applyAlignment="1">
      <alignment horizontal="right" vertical="center"/>
    </xf>
    <xf numFmtId="0" fontId="27" fillId="0" borderId="1" xfId="0" applyFont="1" applyBorder="1" applyAlignment="1" applyProtection="1">
      <alignment horizontal="center" vertical="center"/>
      <protection locked="0"/>
    </xf>
    <xf numFmtId="0" fontId="27" fillId="0" borderId="9" xfId="0" applyFont="1" applyBorder="1" applyAlignment="1">
      <alignment horizontal="center" vertical="center"/>
    </xf>
    <xf numFmtId="0" fontId="42" fillId="6" borderId="36" xfId="0" applyFont="1" applyFill="1" applyBorder="1" applyAlignment="1">
      <alignment horizontal="center" vertical="center"/>
    </xf>
    <xf numFmtId="0" fontId="11" fillId="7" borderId="28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/>
    </xf>
    <xf numFmtId="0" fontId="11" fillId="7" borderId="36" xfId="0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1" xfId="0" applyNumberFormat="1" applyFont="1" applyFill="1" applyBorder="1" applyAlignment="1" applyProtection="1">
      <alignment horizontal="center" vertical="center"/>
      <protection locked="0"/>
    </xf>
    <xf numFmtId="1" fontId="0" fillId="7" borderId="2" xfId="0" applyNumberForma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5" fillId="2" borderId="9" xfId="0" applyNumberFormat="1" applyFont="1" applyFill="1" applyBorder="1" applyAlignment="1">
      <alignment horizontal="center" vertical="center"/>
    </xf>
    <xf numFmtId="0" fontId="42" fillId="7" borderId="28" xfId="0" applyFont="1" applyFill="1" applyBorder="1" applyAlignment="1">
      <alignment horizontal="center" vertical="center"/>
    </xf>
    <xf numFmtId="0" fontId="42" fillId="7" borderId="27" xfId="0" applyFont="1" applyFill="1" applyBorder="1" applyAlignment="1">
      <alignment horizontal="center" vertical="center"/>
    </xf>
    <xf numFmtId="0" fontId="42" fillId="7" borderId="36" xfId="0" applyFont="1" applyFill="1" applyBorder="1" applyAlignment="1">
      <alignment horizontal="center" vertical="center"/>
    </xf>
    <xf numFmtId="0" fontId="42" fillId="7" borderId="56" xfId="0" applyFont="1" applyFill="1" applyBorder="1" applyAlignment="1">
      <alignment horizontal="center" vertical="center"/>
    </xf>
    <xf numFmtId="0" fontId="42" fillId="7" borderId="38" xfId="0" applyFont="1" applyFill="1" applyBorder="1" applyAlignment="1">
      <alignment horizontal="center" vertical="center"/>
    </xf>
    <xf numFmtId="0" fontId="42" fillId="7" borderId="29" xfId="0" applyFont="1" applyFill="1" applyBorder="1" applyAlignment="1">
      <alignment horizontal="center" vertical="center"/>
    </xf>
    <xf numFmtId="0" fontId="0" fillId="7" borderId="28" xfId="0" applyFill="1" applyBorder="1" applyAlignment="1" applyProtection="1">
      <alignment horizontal="center" vertical="center"/>
      <protection locked="0"/>
    </xf>
    <xf numFmtId="0" fontId="0" fillId="7" borderId="27" xfId="0" applyFill="1" applyBorder="1" applyAlignment="1" applyProtection="1">
      <alignment vertical="center"/>
      <protection locked="0"/>
    </xf>
    <xf numFmtId="3" fontId="0" fillId="7" borderId="27" xfId="0" applyNumberFormat="1" applyFill="1" applyBorder="1" applyAlignment="1" applyProtection="1">
      <alignment horizontal="center" vertical="center"/>
      <protection locked="0"/>
    </xf>
    <xf numFmtId="3" fontId="0" fillId="7" borderId="36" xfId="0" applyNumberFormat="1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 vertical="center"/>
      <protection locked="0"/>
    </xf>
    <xf numFmtId="3" fontId="0" fillId="7" borderId="2" xfId="0" applyNumberFormat="1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1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vertical="center"/>
      <protection locked="0"/>
    </xf>
    <xf numFmtId="3" fontId="0" fillId="7" borderId="3" xfId="0" applyNumberFormat="1" applyFill="1" applyBorder="1" applyAlignment="1" applyProtection="1">
      <alignment horizontal="center" vertical="center"/>
      <protection locked="0"/>
    </xf>
    <xf numFmtId="3" fontId="0" fillId="7" borderId="9" xfId="0" applyNumberFormat="1" applyFill="1" applyBorder="1" applyAlignment="1" applyProtection="1">
      <alignment horizontal="center" vertical="center"/>
      <protection locked="0"/>
    </xf>
    <xf numFmtId="0" fontId="8" fillId="2" borderId="4" xfId="0" applyNumberFormat="1" applyFont="1" applyFill="1" applyBorder="1" applyAlignment="1">
      <alignment horizontal="left" vertical="top"/>
    </xf>
    <xf numFmtId="0" fontId="24" fillId="7" borderId="33" xfId="0" applyNumberFormat="1" applyFont="1" applyFill="1" applyBorder="1" applyAlignment="1" applyProtection="1">
      <alignment horizontal="left" vertical="top" wrapText="1"/>
    </xf>
    <xf numFmtId="0" fontId="24" fillId="7" borderId="22" xfId="0" applyNumberFormat="1" applyFont="1" applyFill="1" applyBorder="1" applyAlignment="1" applyProtection="1">
      <alignment horizontal="left" vertical="top" wrapText="1"/>
    </xf>
    <xf numFmtId="0" fontId="8" fillId="2" borderId="5" xfId="0" applyNumberFormat="1" applyFont="1" applyFill="1" applyBorder="1" applyAlignment="1">
      <alignment horizontal="left" vertical="top"/>
    </xf>
    <xf numFmtId="0" fontId="13" fillId="2" borderId="24" xfId="0" applyNumberFormat="1" applyFont="1" applyFill="1" applyBorder="1" applyAlignment="1" applyProtection="1">
      <alignment horizontal="left" vertical="top" wrapText="1"/>
    </xf>
    <xf numFmtId="0" fontId="8" fillId="2" borderId="33" xfId="0" applyNumberFormat="1" applyFont="1" applyFill="1" applyBorder="1" applyAlignment="1">
      <alignment horizontal="left" vertical="top" wrapText="1"/>
    </xf>
    <xf numFmtId="0" fontId="8" fillId="2" borderId="7" xfId="0" applyNumberFormat="1" applyFont="1" applyFill="1" applyBorder="1" applyAlignment="1">
      <alignment horizontal="left" vertical="top" wrapText="1"/>
    </xf>
    <xf numFmtId="0" fontId="8" fillId="2" borderId="24" xfId="0" applyNumberFormat="1" applyFont="1" applyFill="1" applyBorder="1" applyAlignment="1">
      <alignment horizontal="left" vertical="top"/>
    </xf>
    <xf numFmtId="0" fontId="13" fillId="2" borderId="16" xfId="0" applyNumberFormat="1" applyFont="1" applyFill="1" applyBorder="1" applyAlignment="1">
      <alignment horizontal="left" vertical="top"/>
    </xf>
    <xf numFmtId="0" fontId="13" fillId="2" borderId="39" xfId="0" applyNumberFormat="1" applyFont="1" applyFill="1" applyBorder="1" applyAlignment="1">
      <alignment horizontal="left" vertical="top" wrapText="1"/>
    </xf>
    <xf numFmtId="0" fontId="13" fillId="2" borderId="39" xfId="0" applyNumberFormat="1" applyFont="1" applyFill="1" applyBorder="1" applyAlignment="1">
      <alignment vertical="top" wrapText="1"/>
    </xf>
    <xf numFmtId="0" fontId="25" fillId="7" borderId="58" xfId="0" applyNumberFormat="1" applyFont="1" applyFill="1" applyBorder="1" applyAlignment="1" applyProtection="1">
      <alignment horizontal="center" wrapText="1"/>
      <protection locked="0"/>
    </xf>
    <xf numFmtId="0" fontId="13" fillId="2" borderId="39" xfId="0" applyNumberFormat="1" applyFont="1" applyFill="1" applyBorder="1" applyAlignment="1">
      <alignment horizontal="left" vertical="top"/>
    </xf>
    <xf numFmtId="0" fontId="25" fillId="2" borderId="18" xfId="0" applyNumberFormat="1" applyFont="1" applyFill="1" applyBorder="1" applyAlignment="1" applyProtection="1">
      <alignment horizontal="center"/>
      <protection locked="0"/>
    </xf>
    <xf numFmtId="3" fontId="25" fillId="2" borderId="57" xfId="0" applyNumberFormat="1" applyFont="1" applyFill="1" applyBorder="1" applyAlignment="1" applyProtection="1">
      <alignment horizontal="center" wrapText="1"/>
      <protection locked="0"/>
    </xf>
    <xf numFmtId="0" fontId="8" fillId="3" borderId="59" xfId="0" applyFont="1" applyFill="1" applyBorder="1" applyAlignment="1">
      <alignment horizontal="center" vertical="center"/>
    </xf>
    <xf numFmtId="0" fontId="7" fillId="3" borderId="8" xfId="0" applyFont="1" applyFill="1" applyBorder="1" applyAlignment="1" applyProtection="1">
      <alignment horizontal="center" vertical="center"/>
    </xf>
    <xf numFmtId="0" fontId="7" fillId="3" borderId="15" xfId="0" applyFont="1" applyFill="1" applyBorder="1" applyAlignment="1" applyProtection="1">
      <alignment horizontal="center" vertical="center"/>
    </xf>
    <xf numFmtId="0" fontId="7" fillId="3" borderId="16" xfId="0" applyFont="1" applyFill="1" applyBorder="1" applyAlignment="1" applyProtection="1">
      <alignment horizontal="center" vertical="center"/>
    </xf>
    <xf numFmtId="0" fontId="0" fillId="0" borderId="41" xfId="0" applyBorder="1" applyAlignment="1" applyProtection="1">
      <alignment horizontal="center" vertical="center"/>
      <protection locked="0"/>
    </xf>
    <xf numFmtId="0" fontId="2" fillId="7" borderId="60" xfId="0" applyFont="1" applyFill="1" applyBorder="1" applyAlignment="1" applyProtection="1">
      <alignment horizontal="center" vertical="center"/>
      <protection locked="0"/>
    </xf>
    <xf numFmtId="0" fontId="73" fillId="7" borderId="0" xfId="0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0" fillId="2" borderId="0" xfId="0" applyFill="1" applyAlignment="1"/>
    <xf numFmtId="0" fontId="0" fillId="7" borderId="0" xfId="0" applyFill="1" applyBorder="1" applyAlignment="1">
      <alignment horizontal="right"/>
    </xf>
    <xf numFmtId="10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2" fillId="7" borderId="2" xfId="0" applyFont="1" applyFill="1" applyBorder="1" applyAlignment="1" applyProtection="1">
      <alignment horizontal="center" vertical="center"/>
      <protection locked="0"/>
    </xf>
    <xf numFmtId="4" fontId="25" fillId="2" borderId="2" xfId="0" applyNumberFormat="1" applyFont="1" applyFill="1" applyBorder="1" applyAlignment="1" applyProtection="1">
      <alignment horizontal="center" vertical="center"/>
    </xf>
    <xf numFmtId="4" fontId="25" fillId="2" borderId="38" xfId="0" applyNumberFormat="1" applyFont="1" applyFill="1" applyBorder="1" applyAlignment="1" applyProtection="1">
      <alignment horizontal="center" vertical="center"/>
    </xf>
    <xf numFmtId="4" fontId="25" fillId="2" borderId="17" xfId="0" applyNumberFormat="1" applyFont="1" applyFill="1" applyBorder="1" applyAlignment="1" applyProtection="1">
      <alignment horizontal="center" vertical="center"/>
    </xf>
    <xf numFmtId="4" fontId="25" fillId="2" borderId="17" xfId="0" applyNumberFormat="1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vertical="center"/>
    </xf>
    <xf numFmtId="0" fontId="0" fillId="12" borderId="52" xfId="0" applyFill="1" applyBorder="1" applyAlignment="1" applyProtection="1">
      <alignment horizontal="left" vertical="center"/>
      <protection locked="0"/>
    </xf>
    <xf numFmtId="0" fontId="101" fillId="12" borderId="53" xfId="6" applyFill="1" applyBorder="1" applyAlignment="1" applyProtection="1">
      <alignment vertical="center"/>
      <protection locked="0"/>
    </xf>
    <xf numFmtId="0" fontId="102" fillId="0" borderId="0" xfId="0" applyFont="1"/>
    <xf numFmtId="49" fontId="0" fillId="0" borderId="0" xfId="0" applyNumberFormat="1"/>
    <xf numFmtId="0" fontId="103" fillId="0" borderId="0" xfId="0" applyFont="1"/>
    <xf numFmtId="0" fontId="104" fillId="0" borderId="0" xfId="0" applyFont="1"/>
    <xf numFmtId="0" fontId="105" fillId="0" borderId="0" xfId="0" applyFont="1"/>
    <xf numFmtId="0" fontId="5" fillId="0" borderId="0" xfId="7"/>
    <xf numFmtId="0" fontId="5" fillId="0" borderId="0" xfId="7" applyAlignment="1">
      <alignment horizontal="center" vertical="center"/>
    </xf>
    <xf numFmtId="0" fontId="3" fillId="0" borderId="0" xfId="0" applyFont="1"/>
    <xf numFmtId="0" fontId="5" fillId="0" borderId="16" xfId="7" applyBorder="1" applyAlignment="1">
      <alignment horizontal="center" vertical="center"/>
    </xf>
    <xf numFmtId="0" fontId="5" fillId="0" borderId="20" xfId="7" applyBorder="1" applyAlignment="1">
      <alignment horizontal="center" vertical="center"/>
    </xf>
    <xf numFmtId="0" fontId="5" fillId="0" borderId="59" xfId="7" applyBorder="1" applyAlignment="1">
      <alignment horizontal="center" vertical="center"/>
    </xf>
    <xf numFmtId="0" fontId="5" fillId="0" borderId="17" xfId="7" applyBorder="1" applyAlignment="1">
      <alignment horizontal="center" vertical="center"/>
    </xf>
    <xf numFmtId="0" fontId="5" fillId="0" borderId="39" xfId="7" applyBorder="1" applyAlignment="1">
      <alignment horizontal="center" vertical="center"/>
    </xf>
    <xf numFmtId="0" fontId="5" fillId="0" borderId="21" xfId="7" applyBorder="1"/>
    <xf numFmtId="0" fontId="0" fillId="0" borderId="41" xfId="0" applyBorder="1"/>
    <xf numFmtId="0" fontId="3" fillId="0" borderId="16" xfId="0" applyFont="1" applyBorder="1"/>
    <xf numFmtId="0" fontId="2" fillId="0" borderId="3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0" fillId="0" borderId="20" xfId="0" applyBorder="1"/>
    <xf numFmtId="0" fontId="5" fillId="0" borderId="30" xfId="7" applyBorder="1"/>
    <xf numFmtId="0" fontId="5" fillId="0" borderId="47" xfId="7" applyBorder="1" applyAlignment="1">
      <alignment horizontal="center" vertical="center"/>
    </xf>
    <xf numFmtId="0" fontId="5" fillId="0" borderId="30" xfId="7" applyBorder="1" applyAlignment="1">
      <alignment horizontal="center" vertical="center"/>
    </xf>
    <xf numFmtId="0" fontId="106" fillId="2" borderId="91" xfId="7" applyFont="1" applyFill="1" applyBorder="1" applyAlignment="1">
      <alignment vertical="center" wrapText="1"/>
    </xf>
    <xf numFmtId="0" fontId="106" fillId="2" borderId="47" xfId="7" applyFont="1" applyFill="1" applyBorder="1" applyAlignment="1">
      <alignment horizontal="center" vertical="center" wrapText="1"/>
    </xf>
    <xf numFmtId="0" fontId="5" fillId="0" borderId="91" xfId="7" applyBorder="1"/>
    <xf numFmtId="0" fontId="5" fillId="0" borderId="92" xfId="7" applyBorder="1"/>
    <xf numFmtId="1" fontId="5" fillId="0" borderId="93" xfId="8" applyNumberFormat="1" applyFont="1" applyFill="1" applyBorder="1" applyAlignment="1">
      <alignment horizontal="left"/>
    </xf>
    <xf numFmtId="49" fontId="5" fillId="0" borderId="0" xfId="8" applyNumberFormat="1" applyFont="1" applyFill="1" applyAlignment="1">
      <alignment horizontal="center"/>
    </xf>
    <xf numFmtId="0" fontId="0" fillId="0" borderId="19" xfId="0" applyBorder="1"/>
    <xf numFmtId="49" fontId="0" fillId="0" borderId="2" xfId="0" applyNumberFormat="1" applyBorder="1"/>
    <xf numFmtId="49" fontId="107" fillId="0" borderId="71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93" xfId="0" applyBorder="1"/>
    <xf numFmtId="0" fontId="5" fillId="0" borderId="10" xfId="7" applyBorder="1"/>
    <xf numFmtId="0" fontId="5" fillId="0" borderId="26" xfId="7" applyBorder="1" applyAlignment="1">
      <alignment horizontal="center" vertical="center"/>
    </xf>
    <xf numFmtId="0" fontId="106" fillId="2" borderId="2" xfId="7" applyFont="1" applyFill="1" applyBorder="1" applyAlignment="1">
      <alignment vertical="center" wrapText="1"/>
    </xf>
    <xf numFmtId="0" fontId="106" fillId="2" borderId="26" xfId="7" applyFont="1" applyFill="1" applyBorder="1" applyAlignment="1">
      <alignment horizontal="center" vertical="center" wrapText="1"/>
    </xf>
    <xf numFmtId="0" fontId="5" fillId="0" borderId="2" xfId="7" applyBorder="1"/>
    <xf numFmtId="0" fontId="5" fillId="0" borderId="1" xfId="7" applyBorder="1"/>
    <xf numFmtId="0" fontId="5" fillId="0" borderId="94" xfId="8" applyFont="1" applyFill="1" applyBorder="1" applyAlignment="1">
      <alignment horizontal="left"/>
    </xf>
    <xf numFmtId="1" fontId="5" fillId="0" borderId="94" xfId="8" applyNumberFormat="1" applyFont="1" applyFill="1" applyBorder="1" applyAlignment="1">
      <alignment horizontal="left"/>
    </xf>
    <xf numFmtId="0" fontId="5" fillId="0" borderId="0" xfId="7" applyBorder="1" applyAlignment="1">
      <alignment horizontal="center" vertical="center"/>
    </xf>
    <xf numFmtId="0" fontId="5" fillId="0" borderId="11" xfId="7" applyBorder="1"/>
    <xf numFmtId="0" fontId="5" fillId="0" borderId="7" xfId="7" applyBorder="1" applyAlignment="1">
      <alignment horizontal="center" vertical="center"/>
    </xf>
    <xf numFmtId="1" fontId="5" fillId="0" borderId="94" xfId="8" applyNumberFormat="1" applyFont="1" applyFill="1" applyBorder="1" applyAlignment="1">
      <alignment horizontal="left" vertical="top" wrapText="1"/>
    </xf>
    <xf numFmtId="49" fontId="5" fillId="0" borderId="0" xfId="8" applyNumberFormat="1" applyFont="1" applyFill="1" applyAlignment="1">
      <alignment horizontal="center" vertical="top"/>
    </xf>
    <xf numFmtId="49" fontId="108" fillId="0" borderId="71" xfId="0" applyNumberFormat="1" applyFont="1" applyBorder="1" applyAlignment="1">
      <alignment horizontal="center" vertical="center"/>
    </xf>
    <xf numFmtId="1" fontId="109" fillId="0" borderId="94" xfId="0" applyNumberFormat="1" applyFont="1" applyFill="1" applyBorder="1" applyAlignment="1">
      <alignment horizontal="left"/>
    </xf>
    <xf numFmtId="49" fontId="109" fillId="0" borderId="0" xfId="0" applyNumberFormat="1" applyFont="1" applyFill="1" applyAlignment="1">
      <alignment horizontal="center"/>
    </xf>
    <xf numFmtId="0" fontId="106" fillId="2" borderId="3" xfId="7" applyFont="1" applyFill="1" applyBorder="1" applyAlignment="1">
      <alignment vertical="center" wrapText="1"/>
    </xf>
    <xf numFmtId="0" fontId="106" fillId="2" borderId="7" xfId="7" applyFont="1" applyFill="1" applyBorder="1" applyAlignment="1">
      <alignment horizontal="center" vertical="center" wrapText="1"/>
    </xf>
    <xf numFmtId="0" fontId="5" fillId="0" borderId="3" xfId="7" applyBorder="1"/>
    <xf numFmtId="0" fontId="5" fillId="0" borderId="9" xfId="7" applyBorder="1"/>
    <xf numFmtId="1" fontId="5" fillId="0" borderId="95" xfId="8" applyNumberFormat="1" applyFont="1" applyFill="1" applyBorder="1" applyAlignment="1">
      <alignment horizontal="left"/>
    </xf>
    <xf numFmtId="49" fontId="0" fillId="0" borderId="3" xfId="0" applyNumberFormat="1" applyBorder="1"/>
    <xf numFmtId="49" fontId="108" fillId="0" borderId="57" xfId="0" applyNumberFormat="1" applyFont="1" applyBorder="1" applyAlignment="1">
      <alignment horizontal="center" vertical="center"/>
    </xf>
    <xf numFmtId="0" fontId="0" fillId="0" borderId="95" xfId="0" applyBorder="1"/>
    <xf numFmtId="0" fontId="2" fillId="0" borderId="0" xfId="0" applyFont="1"/>
    <xf numFmtId="49" fontId="3" fillId="0" borderId="0" xfId="0" applyNumberFormat="1" applyFont="1"/>
    <xf numFmtId="0" fontId="3" fillId="0" borderId="0" xfId="0" applyNumberFormat="1" applyFont="1"/>
    <xf numFmtId="0" fontId="0" fillId="17" borderId="0" xfId="0" applyFill="1"/>
    <xf numFmtId="3" fontId="0" fillId="0" borderId="0" xfId="0" applyNumberFormat="1"/>
    <xf numFmtId="4" fontId="0" fillId="0" borderId="0" xfId="0" applyNumberFormat="1"/>
    <xf numFmtId="0" fontId="110" fillId="0" borderId="0" xfId="0" applyFont="1"/>
    <xf numFmtId="0" fontId="3" fillId="17" borderId="0" xfId="0" applyFont="1" applyFill="1"/>
    <xf numFmtId="0" fontId="0" fillId="0" borderId="0" xfId="0" applyNumberFormat="1"/>
    <xf numFmtId="1" fontId="0" fillId="0" borderId="0" xfId="0" applyNumberFormat="1"/>
    <xf numFmtId="0" fontId="111" fillId="0" borderId="0" xfId="0" applyFont="1" applyFill="1"/>
    <xf numFmtId="0" fontId="3" fillId="0" borderId="0" xfId="0" applyFont="1" applyFill="1"/>
    <xf numFmtId="0" fontId="0" fillId="18" borderId="0" xfId="0" applyFill="1" applyAlignment="1">
      <alignment horizontal="right" vertical="center"/>
    </xf>
    <xf numFmtId="0" fontId="5" fillId="19" borderId="0" xfId="7" applyFill="1"/>
    <xf numFmtId="0" fontId="3" fillId="22" borderId="0" xfId="10" applyNumberFormat="1" applyFill="1"/>
    <xf numFmtId="0" fontId="3" fillId="22" borderId="0" xfId="10" applyFill="1"/>
    <xf numFmtId="0" fontId="3" fillId="0" borderId="0" xfId="10"/>
    <xf numFmtId="0" fontId="3" fillId="0" borderId="0" xfId="10" applyNumberFormat="1"/>
    <xf numFmtId="0" fontId="111" fillId="0" borderId="0" xfId="0" applyFont="1"/>
    <xf numFmtId="0" fontId="4" fillId="2" borderId="0" xfId="0" applyFont="1" applyFill="1" applyAlignment="1">
      <alignment horizontal="right" vertical="center"/>
    </xf>
    <xf numFmtId="0" fontId="0" fillId="0" borderId="3" xfId="0" applyBorder="1" applyAlignment="1" applyProtection="1">
      <alignment horizontal="center" vertical="center"/>
    </xf>
    <xf numFmtId="0" fontId="11" fillId="6" borderId="92" xfId="0" applyFont="1" applyFill="1" applyBorder="1" applyAlignment="1">
      <alignment horizontal="center" vertical="center" wrapText="1"/>
    </xf>
    <xf numFmtId="49" fontId="110" fillId="0" borderId="0" xfId="0" applyNumberFormat="1" applyFont="1"/>
    <xf numFmtId="0" fontId="0" fillId="20" borderId="0" xfId="0" applyFill="1"/>
    <xf numFmtId="0" fontId="5" fillId="23" borderId="0" xfId="7" applyFill="1"/>
    <xf numFmtId="0" fontId="113" fillId="23" borderId="0" xfId="7" applyFont="1" applyFill="1" applyAlignment="1">
      <alignment vertical="top"/>
    </xf>
    <xf numFmtId="0" fontId="114" fillId="23" borderId="0" xfId="7" applyFont="1" applyFill="1" applyAlignment="1">
      <alignment wrapText="1"/>
    </xf>
    <xf numFmtId="0" fontId="113" fillId="23" borderId="0" xfId="7" applyFont="1" applyFill="1" applyAlignment="1">
      <alignment wrapText="1"/>
    </xf>
    <xf numFmtId="0" fontId="113" fillId="23" borderId="0" xfId="7" applyFont="1" applyFill="1"/>
    <xf numFmtId="0" fontId="115" fillId="23" borderId="0" xfId="5" applyFont="1" applyFill="1" applyAlignment="1" applyProtection="1">
      <alignment wrapText="1"/>
    </xf>
    <xf numFmtId="0" fontId="113" fillId="23" borderId="0" xfId="8" applyFont="1" applyFill="1" applyAlignment="1">
      <alignment wrapText="1"/>
    </xf>
    <xf numFmtId="0" fontId="116" fillId="23" borderId="0" xfId="9" applyFont="1" applyFill="1" applyAlignment="1" applyProtection="1"/>
    <xf numFmtId="0" fontId="113" fillId="23" borderId="0" xfId="7" applyFont="1" applyFill="1" applyBorder="1" applyAlignment="1">
      <alignment wrapText="1"/>
    </xf>
    <xf numFmtId="0" fontId="30" fillId="23" borderId="0" xfId="7" applyFont="1" applyFill="1" applyBorder="1" applyAlignment="1">
      <alignment horizontal="right" wrapText="1"/>
    </xf>
    <xf numFmtId="0" fontId="113" fillId="23" borderId="0" xfId="7" applyFont="1" applyFill="1" applyBorder="1" applyAlignment="1">
      <alignment horizontal="right" wrapText="1"/>
    </xf>
    <xf numFmtId="0" fontId="0" fillId="0" borderId="42" xfId="0" applyBorder="1"/>
    <xf numFmtId="0" fontId="3" fillId="0" borderId="0" xfId="0" quotePrefix="1" applyFont="1"/>
    <xf numFmtId="0" fontId="42" fillId="7" borderId="57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6" borderId="3" xfId="0" applyNumberFormat="1" applyFill="1" applyBorder="1" applyAlignment="1" applyProtection="1">
      <alignment horizontal="center" vertical="center"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8" xfId="0" applyNumberFormat="1" applyBorder="1" applyAlignment="1" applyProtection="1">
      <alignment horizontal="center" vertical="center"/>
      <protection locked="0"/>
    </xf>
    <xf numFmtId="0" fontId="0" fillId="24" borderId="0" xfId="0" applyFill="1"/>
    <xf numFmtId="0" fontId="121" fillId="25" borderId="60" xfId="0" applyFont="1" applyFill="1" applyBorder="1" applyAlignment="1" applyProtection="1">
      <alignment horizontal="center" vertical="center"/>
      <protection locked="0"/>
    </xf>
    <xf numFmtId="0" fontId="107" fillId="22" borderId="0" xfId="11" applyFont="1" applyFill="1"/>
    <xf numFmtId="0" fontId="107" fillId="22" borderId="0" xfId="11" applyFont="1" applyFill="1" applyAlignment="1">
      <alignment wrapText="1"/>
    </xf>
    <xf numFmtId="0" fontId="107" fillId="19" borderId="28" xfId="11" applyFont="1" applyFill="1" applyBorder="1" applyAlignment="1" applyProtection="1">
      <alignment horizontal="center" vertical="center"/>
    </xf>
    <xf numFmtId="0" fontId="107" fillId="19" borderId="27" xfId="11" applyFont="1" applyFill="1" applyBorder="1" applyAlignment="1" applyProtection="1">
      <alignment horizontal="center" vertical="center"/>
    </xf>
    <xf numFmtId="0" fontId="107" fillId="19" borderId="36" xfId="11" applyFont="1" applyFill="1" applyBorder="1" applyAlignment="1" applyProtection="1">
      <alignment horizontal="center" vertical="center" wrapText="1"/>
    </xf>
    <xf numFmtId="0" fontId="107" fillId="22" borderId="0" xfId="11" applyFont="1" applyFill="1" applyAlignment="1">
      <alignment horizontal="center" vertical="center"/>
    </xf>
    <xf numFmtId="0" fontId="124" fillId="19" borderId="2" xfId="11" applyNumberFormat="1" applyFont="1" applyFill="1" applyBorder="1" applyAlignment="1" applyProtection="1">
      <alignment horizontal="left" vertical="center" indent="1"/>
      <protection locked="0"/>
    </xf>
    <xf numFmtId="49" fontId="124" fillId="19" borderId="1" xfId="11" applyNumberFormat="1" applyFont="1" applyFill="1" applyBorder="1" applyAlignment="1" applyProtection="1">
      <alignment horizontal="center" vertical="center"/>
      <protection locked="0"/>
    </xf>
    <xf numFmtId="49" fontId="124" fillId="19" borderId="2" xfId="11" applyNumberFormat="1" applyFont="1" applyFill="1" applyBorder="1" applyAlignment="1" applyProtection="1">
      <alignment horizontal="left" vertical="center" indent="1"/>
      <protection locked="0"/>
    </xf>
    <xf numFmtId="49" fontId="124" fillId="19" borderId="2" xfId="11" applyNumberFormat="1" applyFont="1" applyFill="1" applyBorder="1" applyAlignment="1" applyProtection="1">
      <alignment horizontal="center" vertical="center"/>
      <protection locked="0"/>
    </xf>
    <xf numFmtId="49" fontId="124" fillId="19" borderId="3" xfId="11" applyNumberFormat="1" applyFont="1" applyFill="1" applyBorder="1" applyAlignment="1" applyProtection="1">
      <alignment horizontal="left" vertical="center" indent="1"/>
      <protection locked="0"/>
    </xf>
    <xf numFmtId="49" fontId="124" fillId="19" borderId="3" xfId="11" applyNumberFormat="1" applyFont="1" applyFill="1" applyBorder="1" applyAlignment="1" applyProtection="1">
      <alignment horizontal="center" vertical="center"/>
      <protection locked="0"/>
    </xf>
    <xf numFmtId="49" fontId="124" fillId="19" borderId="9" xfId="11" applyNumberFormat="1" applyFont="1" applyFill="1" applyBorder="1" applyAlignment="1" applyProtection="1">
      <alignment horizontal="center" vertical="center"/>
      <protection locked="0"/>
    </xf>
    <xf numFmtId="0" fontId="125" fillId="19" borderId="0" xfId="11" applyFont="1" applyFill="1" applyAlignment="1">
      <alignment vertical="center"/>
    </xf>
    <xf numFmtId="0" fontId="107" fillId="19" borderId="0" xfId="11" applyFont="1" applyFill="1" applyAlignment="1" applyProtection="1">
      <alignment horizontal="right" vertical="center"/>
    </xf>
    <xf numFmtId="14" fontId="124" fillId="19" borderId="0" xfId="11" applyNumberFormat="1" applyFont="1" applyFill="1" applyBorder="1" applyAlignment="1" applyProtection="1">
      <alignment horizontal="center" vertical="center"/>
    </xf>
    <xf numFmtId="0" fontId="107" fillId="19" borderId="0" xfId="11" applyFont="1" applyFill="1"/>
    <xf numFmtId="0" fontId="2" fillId="22" borderId="0" xfId="11" applyFont="1" applyFill="1" applyAlignment="1" applyProtection="1"/>
    <xf numFmtId="0" fontId="1" fillId="22" borderId="0" xfId="11" applyFill="1" applyAlignment="1" applyProtection="1">
      <alignment wrapText="1"/>
    </xf>
    <xf numFmtId="0" fontId="107" fillId="19" borderId="0" xfId="11" applyFont="1" applyFill="1" applyProtection="1"/>
    <xf numFmtId="0" fontId="107" fillId="22" borderId="0" xfId="11" applyFont="1" applyFill="1" applyProtection="1"/>
    <xf numFmtId="0" fontId="1" fillId="22" borderId="0" xfId="11" applyFill="1"/>
    <xf numFmtId="0" fontId="122" fillId="22" borderId="0" xfId="11" applyFont="1" applyFill="1" applyAlignment="1" applyProtection="1">
      <alignment vertical="center"/>
    </xf>
    <xf numFmtId="0" fontId="107" fillId="19" borderId="0" xfId="11" applyFont="1" applyFill="1" applyAlignment="1">
      <alignment vertical="center"/>
    </xf>
    <xf numFmtId="0" fontId="107" fillId="19" borderId="0" xfId="11" applyFont="1" applyFill="1" applyAlignment="1">
      <alignment horizontal="right" vertical="center"/>
    </xf>
    <xf numFmtId="49" fontId="125" fillId="19" borderId="42" xfId="11" applyNumberFormat="1" applyFont="1" applyFill="1" applyBorder="1" applyAlignment="1" applyProtection="1">
      <alignment horizontal="center" vertical="center"/>
    </xf>
    <xf numFmtId="49" fontId="125" fillId="19" borderId="0" xfId="11" applyNumberFormat="1" applyFont="1" applyFill="1" applyBorder="1" applyAlignment="1" applyProtection="1">
      <alignment vertical="center"/>
    </xf>
    <xf numFmtId="0" fontId="124" fillId="19" borderId="83" xfId="11" applyNumberFormat="1" applyFont="1" applyFill="1" applyBorder="1" applyAlignment="1" applyProtection="1">
      <alignment horizontal="left" vertical="center" indent="1"/>
      <protection locked="0"/>
    </xf>
    <xf numFmtId="49" fontId="124" fillId="19" borderId="0" xfId="11" applyNumberFormat="1" applyFont="1" applyFill="1" applyBorder="1" applyAlignment="1" applyProtection="1">
      <alignment vertical="center"/>
    </xf>
    <xf numFmtId="14" fontId="124" fillId="19" borderId="83" xfId="11" applyNumberFormat="1" applyFont="1" applyFill="1" applyBorder="1" applyAlignment="1" applyProtection="1">
      <alignment horizontal="center" vertical="center"/>
      <protection locked="0"/>
    </xf>
    <xf numFmtId="0" fontId="1" fillId="19" borderId="0" xfId="11" applyFill="1"/>
    <xf numFmtId="0" fontId="3" fillId="7" borderId="0" xfId="0" applyFont="1" applyFill="1" applyAlignment="1">
      <alignment vertical="center"/>
    </xf>
    <xf numFmtId="0" fontId="3" fillId="7" borderId="0" xfId="0" applyFont="1" applyFill="1" applyAlignment="1">
      <alignment horizontal="right" vertical="center"/>
    </xf>
    <xf numFmtId="0" fontId="3" fillId="18" borderId="0" xfId="0" applyFont="1" applyFill="1" applyAlignment="1">
      <alignment horizontal="right" vertical="center"/>
    </xf>
    <xf numFmtId="0" fontId="0" fillId="19" borderId="0" xfId="0" applyFill="1" applyAlignment="1">
      <alignment vertical="center"/>
    </xf>
    <xf numFmtId="0" fontId="0" fillId="19" borderId="0" xfId="0" applyFill="1" applyBorder="1" applyAlignment="1" applyProtection="1">
      <alignment vertical="center"/>
    </xf>
    <xf numFmtId="0" fontId="107" fillId="19" borderId="0" xfId="11" applyFont="1" applyFill="1" applyAlignment="1" applyProtection="1">
      <alignment horizontal="center"/>
    </xf>
    <xf numFmtId="0" fontId="107" fillId="19" borderId="0" xfId="11" applyFont="1" applyFill="1" applyBorder="1" applyAlignment="1" applyProtection="1">
      <alignment horizontal="left" vertical="center"/>
    </xf>
    <xf numFmtId="0" fontId="107" fillId="19" borderId="27" xfId="11" applyFont="1" applyFill="1" applyBorder="1" applyAlignment="1" applyProtection="1">
      <alignment horizontal="center" vertical="center" wrapText="1"/>
    </xf>
    <xf numFmtId="0" fontId="0" fillId="19" borderId="0" xfId="0" applyFill="1" applyBorder="1" applyAlignment="1" applyProtection="1">
      <alignment vertical="center"/>
    </xf>
    <xf numFmtId="0" fontId="0" fillId="19" borderId="0" xfId="0" applyFill="1"/>
    <xf numFmtId="0" fontId="0" fillId="19" borderId="0" xfId="0" applyFill="1" applyAlignment="1"/>
    <xf numFmtId="0" fontId="0" fillId="19" borderId="121" xfId="0" applyFill="1" applyBorder="1" applyAlignment="1">
      <alignment vertical="center"/>
    </xf>
    <xf numFmtId="0" fontId="42" fillId="19" borderId="0" xfId="0" applyFont="1" applyFill="1" applyBorder="1" applyAlignment="1">
      <alignment vertical="center"/>
    </xf>
    <xf numFmtId="0" fontId="42" fillId="19" borderId="122" xfId="0" applyFont="1" applyFill="1" applyBorder="1" applyAlignment="1">
      <alignment vertical="center"/>
    </xf>
    <xf numFmtId="0" fontId="0" fillId="19" borderId="0" xfId="0" applyFill="1" applyBorder="1" applyAlignment="1">
      <alignment vertical="center"/>
    </xf>
    <xf numFmtId="0" fontId="0" fillId="19" borderId="122" xfId="0" applyFill="1" applyBorder="1" applyAlignment="1">
      <alignment vertical="center"/>
    </xf>
    <xf numFmtId="0" fontId="0" fillId="19" borderId="123" xfId="0" applyFill="1" applyBorder="1" applyAlignment="1">
      <alignment vertical="center"/>
    </xf>
    <xf numFmtId="0" fontId="0" fillId="19" borderId="124" xfId="0" applyFill="1" applyBorder="1" applyAlignment="1">
      <alignment vertical="center"/>
    </xf>
    <xf numFmtId="0" fontId="0" fillId="19" borderId="125" xfId="0" applyFill="1" applyBorder="1" applyAlignment="1">
      <alignment vertical="center"/>
    </xf>
    <xf numFmtId="0" fontId="58" fillId="19" borderId="0" xfId="0" applyFont="1" applyFill="1" applyBorder="1" applyAlignment="1">
      <alignment horizontal="center" vertical="center"/>
    </xf>
    <xf numFmtId="0" fontId="3" fillId="19" borderId="0" xfId="0" applyFont="1" applyFill="1" applyBorder="1" applyAlignment="1">
      <alignment vertical="center"/>
    </xf>
    <xf numFmtId="0" fontId="2" fillId="19" borderId="105" xfId="0" applyFont="1" applyFill="1" applyBorder="1" applyAlignment="1" applyProtection="1">
      <alignment horizontal="center" vertical="center"/>
      <protection locked="0"/>
    </xf>
    <xf numFmtId="0" fontId="0" fillId="19" borderId="109" xfId="0" applyFill="1" applyBorder="1" applyAlignment="1">
      <alignment vertical="center"/>
    </xf>
    <xf numFmtId="0" fontId="0" fillId="19" borderId="111" xfId="0" applyFill="1" applyBorder="1" applyAlignment="1">
      <alignment vertical="center"/>
    </xf>
    <xf numFmtId="0" fontId="0" fillId="26" borderId="0" xfId="0" applyFill="1"/>
    <xf numFmtId="0" fontId="2" fillId="26" borderId="0" xfId="0" applyFont="1" applyFill="1"/>
    <xf numFmtId="0" fontId="0" fillId="26" borderId="0" xfId="0" applyFill="1" applyAlignment="1">
      <alignment vertical="center"/>
    </xf>
    <xf numFmtId="0" fontId="3" fillId="26" borderId="0" xfId="0" applyFont="1" applyFill="1"/>
    <xf numFmtId="0" fontId="107" fillId="19" borderId="0" xfId="11" applyFont="1" applyFill="1" applyAlignment="1" applyProtection="1">
      <alignment horizontal="center" vertical="center" wrapText="1"/>
    </xf>
    <xf numFmtId="0" fontId="124" fillId="19" borderId="121" xfId="11" applyNumberFormat="1" applyFont="1" applyFill="1" applyBorder="1" applyAlignment="1" applyProtection="1">
      <alignment horizontal="center" vertical="center"/>
    </xf>
    <xf numFmtId="0" fontId="125" fillId="19" borderId="0" xfId="11" applyFont="1" applyFill="1" applyAlignment="1" applyProtection="1">
      <alignment horizontal="center" vertical="center" wrapText="1"/>
      <protection locked="0"/>
    </xf>
    <xf numFmtId="0" fontId="124" fillId="19" borderId="71" xfId="11" applyNumberFormat="1" applyFont="1" applyFill="1" applyBorder="1" applyAlignment="1" applyProtection="1">
      <alignment horizontal="left" vertical="center" indent="1"/>
      <protection locked="0"/>
    </xf>
    <xf numFmtId="49" fontId="124" fillId="19" borderId="71" xfId="11" applyNumberFormat="1" applyFont="1" applyFill="1" applyBorder="1" applyAlignment="1" applyProtection="1">
      <alignment horizontal="left" vertical="center" indent="1"/>
      <protection locked="0"/>
    </xf>
    <xf numFmtId="49" fontId="124" fillId="19" borderId="57" xfId="11" applyNumberFormat="1" applyFont="1" applyFill="1" applyBorder="1" applyAlignment="1" applyProtection="1">
      <alignment horizontal="left" vertical="center" indent="1"/>
      <protection locked="0"/>
    </xf>
    <xf numFmtId="0" fontId="124" fillId="19" borderId="2" xfId="11" applyNumberFormat="1" applyFont="1" applyFill="1" applyBorder="1" applyAlignment="1" applyProtection="1">
      <alignment horizontal="center" vertical="center"/>
      <protection locked="0"/>
    </xf>
    <xf numFmtId="0" fontId="131" fillId="19" borderId="1" xfId="0" applyFont="1" applyFill="1" applyBorder="1" applyAlignment="1" applyProtection="1">
      <alignment horizontal="center" vertical="center"/>
      <protection locked="0"/>
    </xf>
    <xf numFmtId="0" fontId="130" fillId="19" borderId="2" xfId="11" applyNumberFormat="1" applyFont="1" applyFill="1" applyBorder="1" applyAlignment="1" applyProtection="1">
      <alignment horizontal="center" vertical="center"/>
    </xf>
    <xf numFmtId="0" fontId="42" fillId="19" borderId="32" xfId="0" applyFont="1" applyFill="1" applyBorder="1" applyAlignment="1" applyProtection="1">
      <alignment vertical="center"/>
    </xf>
    <xf numFmtId="0" fontId="125" fillId="19" borderId="0" xfId="11" applyFont="1" applyFill="1" applyAlignment="1" applyProtection="1">
      <alignment horizontal="center" vertical="center" wrapText="1"/>
    </xf>
    <xf numFmtId="0" fontId="107" fillId="19" borderId="10" xfId="11" applyNumberFormat="1" applyFont="1" applyFill="1" applyBorder="1" applyAlignment="1" applyProtection="1">
      <alignment horizontal="left" vertical="center" indent="1"/>
    </xf>
    <xf numFmtId="49" fontId="107" fillId="19" borderId="10" xfId="11" applyNumberFormat="1" applyFont="1" applyFill="1" applyBorder="1" applyAlignment="1" applyProtection="1">
      <alignment horizontal="left" vertical="center" indent="1"/>
    </xf>
    <xf numFmtId="49" fontId="124" fillId="19" borderId="11" xfId="11" applyNumberFormat="1" applyFont="1" applyFill="1" applyBorder="1" applyAlignment="1" applyProtection="1">
      <alignment horizontal="left" vertical="center" indent="1"/>
    </xf>
    <xf numFmtId="0" fontId="52" fillId="12" borderId="52" xfId="5" applyFill="1" applyBorder="1" applyAlignment="1" applyProtection="1">
      <alignment vertical="center"/>
      <protection locked="0"/>
    </xf>
    <xf numFmtId="0" fontId="110" fillId="0" borderId="0" xfId="0" applyNumberFormat="1" applyFont="1"/>
    <xf numFmtId="3" fontId="110" fillId="0" borderId="0" xfId="0" applyNumberFormat="1" applyFont="1"/>
    <xf numFmtId="0" fontId="0" fillId="0" borderId="1" xfId="0" applyBorder="1" applyAlignment="1" applyProtection="1">
      <alignment horizontal="center" vertical="center"/>
      <protection locked="0"/>
    </xf>
    <xf numFmtId="0" fontId="58" fillId="27" borderId="4" xfId="12" applyFont="1" applyBorder="1" applyAlignment="1"/>
    <xf numFmtId="0" fontId="58" fillId="27" borderId="128" xfId="12" applyFont="1" applyBorder="1" applyAlignment="1" applyProtection="1">
      <alignment horizontal="center"/>
    </xf>
    <xf numFmtId="0" fontId="58" fillId="27" borderId="70" xfId="12" applyFont="1" applyBorder="1" applyAlignment="1">
      <alignment horizontal="center"/>
    </xf>
    <xf numFmtId="0" fontId="58" fillId="27" borderId="27" xfId="12" applyFont="1" applyBorder="1" applyAlignment="1">
      <alignment horizontal="center"/>
    </xf>
    <xf numFmtId="0" fontId="58" fillId="27" borderId="36" xfId="12" applyFont="1" applyBorder="1" applyAlignment="1">
      <alignment horizontal="center"/>
    </xf>
    <xf numFmtId="0" fontId="8" fillId="3" borderId="8" xfId="0" applyFont="1" applyFill="1" applyBorder="1" applyAlignment="1" applyProtection="1">
      <alignment vertical="center"/>
    </xf>
    <xf numFmtId="4" fontId="2" fillId="0" borderId="129" xfId="0" applyNumberFormat="1" applyFont="1" applyBorder="1" applyAlignment="1" applyProtection="1">
      <alignment vertical="center"/>
    </xf>
    <xf numFmtId="4" fontId="0" fillId="0" borderId="108" xfId="0" applyNumberFormat="1" applyBorder="1" applyAlignment="1" applyProtection="1">
      <alignment vertical="center"/>
      <protection locked="0"/>
    </xf>
    <xf numFmtId="4" fontId="0" fillId="0" borderId="105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3" borderId="5" xfId="0" applyFont="1" applyFill="1" applyBorder="1" applyAlignment="1" applyProtection="1">
      <alignment vertical="center"/>
    </xf>
    <xf numFmtId="4" fontId="2" fillId="0" borderId="130" xfId="0" applyNumberFormat="1" applyFont="1" applyBorder="1" applyAlignment="1" applyProtection="1">
      <alignment vertical="center"/>
    </xf>
    <xf numFmtId="4" fontId="0" fillId="7" borderId="57" xfId="0" applyNumberFormat="1" applyFill="1" applyBorder="1" applyAlignment="1" applyProtection="1">
      <alignment vertical="center"/>
      <protection locked="0"/>
    </xf>
    <xf numFmtId="4" fontId="0" fillId="7" borderId="3" xfId="0" applyNumberFormat="1" applyFill="1" applyBorder="1" applyAlignment="1" applyProtection="1">
      <alignment vertical="center"/>
      <protection locked="0"/>
    </xf>
    <xf numFmtId="4" fontId="0" fillId="7" borderId="9" xfId="0" applyNumberFormat="1" applyFill="1" applyBorder="1" applyAlignment="1" applyProtection="1">
      <alignment vertical="center"/>
      <protection locked="0"/>
    </xf>
    <xf numFmtId="0" fontId="107" fillId="28" borderId="0" xfId="11" applyFont="1" applyFill="1"/>
    <xf numFmtId="0" fontId="107" fillId="0" borderId="0" xfId="11" applyFont="1"/>
    <xf numFmtId="0" fontId="42" fillId="19" borderId="122" xfId="11" applyFont="1" applyFill="1" applyBorder="1" applyAlignment="1">
      <alignment horizontal="left" vertical="center"/>
    </xf>
    <xf numFmtId="0" fontId="42" fillId="19" borderId="0" xfId="11" applyFont="1" applyFill="1" applyAlignment="1">
      <alignment vertical="center"/>
    </xf>
    <xf numFmtId="0" fontId="107" fillId="28" borderId="0" xfId="11" applyFont="1" applyFill="1" applyAlignment="1">
      <alignment vertical="center"/>
    </xf>
    <xf numFmtId="0" fontId="107" fillId="0" borderId="0" xfId="11" applyFont="1" applyAlignment="1">
      <alignment vertical="center"/>
    </xf>
    <xf numFmtId="4" fontId="42" fillId="19" borderId="0" xfId="11" applyNumberFormat="1" applyFont="1" applyFill="1" applyAlignment="1">
      <alignment vertical="center"/>
    </xf>
    <xf numFmtId="4" fontId="107" fillId="28" borderId="0" xfId="11" applyNumberFormat="1" applyFont="1" applyFill="1" applyAlignment="1">
      <alignment vertical="center"/>
    </xf>
    <xf numFmtId="4" fontId="107" fillId="0" borderId="0" xfId="11" applyNumberFormat="1" applyFont="1" applyAlignment="1">
      <alignment vertical="center"/>
    </xf>
    <xf numFmtId="0" fontId="11" fillId="19" borderId="0" xfId="11" applyFont="1" applyFill="1"/>
    <xf numFmtId="0" fontId="42" fillId="19" borderId="0" xfId="11" applyFont="1" applyFill="1" applyAlignment="1">
      <alignment horizontal="right" vertical="center"/>
    </xf>
    <xf numFmtId="0" fontId="0" fillId="0" borderId="0" xfId="0" applyAlignment="1" applyProtection="1">
      <alignment vertical="center"/>
    </xf>
    <xf numFmtId="0" fontId="0" fillId="19" borderId="123" xfId="0" applyFill="1" applyBorder="1" applyAlignment="1">
      <alignment vertical="center"/>
    </xf>
    <xf numFmtId="0" fontId="42" fillId="19" borderId="0" xfId="0" applyFont="1" applyFill="1" applyBorder="1" applyAlignment="1" applyProtection="1">
      <alignment vertical="center"/>
    </xf>
    <xf numFmtId="0" fontId="0" fillId="19" borderId="121" xfId="0" applyFill="1" applyBorder="1" applyAlignment="1">
      <alignment vertical="center"/>
    </xf>
    <xf numFmtId="0" fontId="0" fillId="7" borderId="0" xfId="0" applyFill="1" applyAlignment="1"/>
    <xf numFmtId="0" fontId="3" fillId="3" borderId="0" xfId="10" applyFill="1"/>
    <xf numFmtId="0" fontId="3" fillId="2" borderId="0" xfId="10" applyFill="1"/>
    <xf numFmtId="0" fontId="68" fillId="2" borderId="0" xfId="10" applyFont="1" applyFill="1"/>
    <xf numFmtId="0" fontId="3" fillId="2" borderId="0" xfId="10" applyFill="1" applyProtection="1">
      <protection locked="0"/>
    </xf>
    <xf numFmtId="0" fontId="8" fillId="3" borderId="126" xfId="0" applyFont="1" applyFill="1" applyBorder="1" applyAlignment="1">
      <alignment horizontal="center" vertical="center"/>
    </xf>
    <xf numFmtId="0" fontId="8" fillId="3" borderId="126" xfId="0" applyFont="1" applyFill="1" applyBorder="1" applyAlignment="1">
      <alignment horizontal="center" vertical="center" wrapText="1"/>
    </xf>
    <xf numFmtId="0" fontId="3" fillId="20" borderId="0" xfId="0" applyFont="1" applyFill="1" applyAlignment="1">
      <alignment horizontal="center"/>
    </xf>
    <xf numFmtId="0" fontId="73" fillId="21" borderId="0" xfId="0" applyFont="1" applyFill="1" applyAlignment="1"/>
    <xf numFmtId="0" fontId="0" fillId="21" borderId="0" xfId="0" applyFill="1" applyAlignment="1"/>
    <xf numFmtId="0" fontId="0" fillId="21" borderId="0" xfId="0" applyNumberFormat="1" applyFill="1" applyAlignment="1"/>
    <xf numFmtId="0" fontId="2" fillId="21" borderId="0" xfId="0" applyFont="1" applyFill="1" applyAlignment="1"/>
    <xf numFmtId="0" fontId="3" fillId="21" borderId="0" xfId="0" applyFont="1" applyFill="1" applyAlignment="1"/>
    <xf numFmtId="0" fontId="117" fillId="21" borderId="81" xfId="0" applyFont="1" applyFill="1" applyBorder="1" applyAlignment="1">
      <alignment horizontal="left" vertical="center"/>
    </xf>
    <xf numFmtId="0" fontId="0" fillId="21" borderId="72" xfId="0" applyFill="1" applyBorder="1" applyAlignment="1">
      <alignment horizontal="left"/>
    </xf>
    <xf numFmtId="0" fontId="0" fillId="21" borderId="78" xfId="0" applyFill="1" applyBorder="1" applyAlignment="1">
      <alignment horizontal="left"/>
    </xf>
    <xf numFmtId="0" fontId="117" fillId="21" borderId="79" xfId="0" applyFont="1" applyFill="1" applyBorder="1" applyAlignment="1">
      <alignment horizontal="left" vertical="center"/>
    </xf>
    <xf numFmtId="0" fontId="117" fillId="21" borderId="40" xfId="0" applyFont="1" applyFill="1" applyBorder="1" applyAlignment="1">
      <alignment horizontal="left" vertical="center"/>
    </xf>
    <xf numFmtId="0" fontId="117" fillId="21" borderId="80" xfId="0" applyFont="1" applyFill="1" applyBorder="1" applyAlignment="1">
      <alignment horizontal="left" vertical="center"/>
    </xf>
    <xf numFmtId="0" fontId="0" fillId="21" borderId="81" xfId="0" applyFill="1" applyBorder="1" applyAlignment="1">
      <alignment horizontal="left"/>
    </xf>
    <xf numFmtId="0" fontId="0" fillId="21" borderId="0" xfId="0" applyFill="1" applyBorder="1" applyAlignment="1">
      <alignment horizontal="left"/>
    </xf>
    <xf numFmtId="0" fontId="0" fillId="21" borderId="81" xfId="0" applyNumberFormat="1" applyFill="1" applyBorder="1" applyAlignment="1">
      <alignment horizontal="left"/>
    </xf>
    <xf numFmtId="0" fontId="0" fillId="21" borderId="72" xfId="0" applyNumberFormat="1" applyFill="1" applyBorder="1" applyAlignment="1">
      <alignment horizontal="left"/>
    </xf>
    <xf numFmtId="0" fontId="0" fillId="21" borderId="78" xfId="0" applyNumberFormat="1" applyFill="1" applyBorder="1" applyAlignment="1">
      <alignment horizontal="left"/>
    </xf>
    <xf numFmtId="0" fontId="118" fillId="21" borderId="19" xfId="0" applyFont="1" applyFill="1" applyBorder="1" applyAlignment="1">
      <alignment horizontal="left" vertical="center"/>
    </xf>
    <xf numFmtId="0" fontId="0" fillId="21" borderId="0" xfId="0" applyFill="1" applyAlignment="1">
      <alignment horizontal="left" vertical="center"/>
    </xf>
    <xf numFmtId="0" fontId="0" fillId="21" borderId="32" xfId="0" applyFill="1" applyBorder="1" applyAlignment="1">
      <alignment horizontal="left" vertical="center"/>
    </xf>
    <xf numFmtId="0" fontId="0" fillId="21" borderId="19" xfId="0" applyFill="1" applyBorder="1" applyAlignment="1">
      <alignment horizontal="left"/>
    </xf>
    <xf numFmtId="0" fontId="118" fillId="21" borderId="28" xfId="0" applyNumberFormat="1" applyFont="1" applyFill="1" applyBorder="1" applyAlignment="1">
      <alignment horizontal="left" vertical="center"/>
    </xf>
    <xf numFmtId="0" fontId="0" fillId="21" borderId="27" xfId="0" applyFill="1" applyBorder="1" applyAlignment="1">
      <alignment horizontal="left" vertical="center"/>
    </xf>
    <xf numFmtId="0" fontId="0" fillId="21" borderId="36" xfId="0" applyFill="1" applyBorder="1" applyAlignment="1">
      <alignment horizontal="left" vertical="center"/>
    </xf>
    <xf numFmtId="0" fontId="118" fillId="21" borderId="79" xfId="0" applyFont="1" applyFill="1" applyBorder="1" applyAlignment="1">
      <alignment horizontal="center" vertical="center"/>
    </xf>
    <xf numFmtId="0" fontId="118" fillId="21" borderId="40" xfId="0" applyFont="1" applyFill="1" applyBorder="1" applyAlignment="1">
      <alignment horizontal="center" vertical="center"/>
    </xf>
    <xf numFmtId="0" fontId="118" fillId="21" borderId="80" xfId="0" applyFont="1" applyFill="1" applyBorder="1" applyAlignment="1">
      <alignment horizontal="center" vertical="center"/>
    </xf>
    <xf numFmtId="0" fontId="0" fillId="21" borderId="0" xfId="0" applyFill="1" applyBorder="1" applyAlignment="1"/>
    <xf numFmtId="0" fontId="118" fillId="21" borderId="10" xfId="0" applyFont="1" applyFill="1" applyBorder="1" applyAlignment="1">
      <alignment horizontal="center" vertical="center"/>
    </xf>
    <xf numFmtId="0" fontId="118" fillId="21" borderId="105" xfId="0" applyFont="1" applyFill="1" applyBorder="1" applyAlignment="1">
      <alignment horizontal="center" vertical="center"/>
    </xf>
    <xf numFmtId="0" fontId="118" fillId="21" borderId="1" xfId="0" applyFont="1" applyFill="1" applyBorder="1" applyAlignment="1">
      <alignment horizontal="center" vertical="center"/>
    </xf>
    <xf numFmtId="0" fontId="0" fillId="0" borderId="28" xfId="0" applyBorder="1" applyAlignment="1">
      <alignment vertical="center"/>
    </xf>
    <xf numFmtId="0" fontId="0" fillId="0" borderId="27" xfId="0" applyBorder="1" applyAlignment="1">
      <alignment horizontal="center"/>
    </xf>
    <xf numFmtId="3" fontId="0" fillId="0" borderId="27" xfId="0" applyNumberFormat="1" applyBorder="1" applyAlignment="1">
      <alignment horizontal="right"/>
    </xf>
    <xf numFmtId="3" fontId="0" fillId="0" borderId="36" xfId="0" applyNumberFormat="1" applyBorder="1" applyAlignment="1">
      <alignment horizontal="right"/>
    </xf>
    <xf numFmtId="0" fontId="0" fillId="21" borderId="19" xfId="0" applyFill="1" applyBorder="1" applyAlignment="1"/>
    <xf numFmtId="0" fontId="0" fillId="0" borderId="10" xfId="0" applyBorder="1" applyAlignment="1">
      <alignment vertical="center" wrapText="1"/>
    </xf>
    <xf numFmtId="49" fontId="0" fillId="0" borderId="105" xfId="0" applyNumberFormat="1" applyBorder="1" applyAlignment="1">
      <alignment horizontal="center"/>
    </xf>
    <xf numFmtId="3" fontId="0" fillId="0" borderId="105" xfId="0" applyNumberFormat="1" applyBorder="1" applyAlignment="1"/>
    <xf numFmtId="3" fontId="0" fillId="0" borderId="1" xfId="0" applyNumberFormat="1" applyBorder="1" applyAlignment="1"/>
    <xf numFmtId="0" fontId="0" fillId="0" borderId="10" xfId="0" applyBorder="1" applyAlignment="1">
      <alignment vertical="center"/>
    </xf>
    <xf numFmtId="0" fontId="0" fillId="0" borderId="105" xfId="0" applyBorder="1" applyAlignment="1">
      <alignment horizontal="center"/>
    </xf>
    <xf numFmtId="3" fontId="0" fillId="0" borderId="105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49" fontId="3" fillId="0" borderId="105" xfId="0" applyNumberFormat="1" applyFont="1" applyBorder="1" applyAlignment="1">
      <alignment horizontal="center"/>
    </xf>
    <xf numFmtId="0" fontId="0" fillId="0" borderId="11" xfId="0" applyBorder="1" applyAlignment="1">
      <alignment vertical="center"/>
    </xf>
    <xf numFmtId="49" fontId="3" fillId="0" borderId="3" xfId="0" applyNumberFormat="1" applyFont="1" applyBorder="1" applyAlignment="1">
      <alignment horizontal="center"/>
    </xf>
    <xf numFmtId="3" fontId="0" fillId="0" borderId="3" xfId="0" applyNumberFormat="1" applyBorder="1" applyAlignment="1"/>
    <xf numFmtId="3" fontId="0" fillId="0" borderId="9" xfId="0" applyNumberFormat="1" applyBorder="1" applyAlignment="1"/>
    <xf numFmtId="0" fontId="3" fillId="21" borderId="0" xfId="0" applyNumberFormat="1" applyFont="1" applyFill="1" applyAlignment="1"/>
    <xf numFmtId="3" fontId="0" fillId="21" borderId="0" xfId="0" applyNumberFormat="1" applyFill="1" applyAlignment="1"/>
    <xf numFmtId="0" fontId="2" fillId="19" borderId="4" xfId="0" applyNumberFormat="1" applyFont="1" applyFill="1" applyBorder="1" applyAlignment="1"/>
    <xf numFmtId="0" fontId="2" fillId="19" borderId="22" xfId="0" applyFont="1" applyFill="1" applyBorder="1" applyAlignment="1"/>
    <xf numFmtId="0" fontId="2" fillId="19" borderId="6" xfId="0" applyFont="1" applyFill="1" applyBorder="1" applyAlignment="1"/>
    <xf numFmtId="0" fontId="0" fillId="19" borderId="79" xfId="0" applyNumberFormat="1" applyFill="1" applyBorder="1" applyAlignment="1"/>
    <xf numFmtId="0" fontId="0" fillId="19" borderId="40" xfId="0" applyFill="1" applyBorder="1" applyAlignment="1"/>
    <xf numFmtId="0" fontId="0" fillId="19" borderId="80" xfId="0" applyFill="1" applyBorder="1" applyAlignment="1"/>
    <xf numFmtId="0" fontId="0" fillId="0" borderId="3" xfId="0" applyBorder="1" applyAlignment="1">
      <alignment horizontal="center"/>
    </xf>
    <xf numFmtId="3" fontId="0" fillId="0" borderId="3" xfId="0" applyNumberFormat="1" applyBorder="1" applyAlignment="1">
      <alignment horizontal="right"/>
    </xf>
    <xf numFmtId="3" fontId="0" fillId="0" borderId="9" xfId="0" applyNumberFormat="1" applyBorder="1" applyAlignment="1">
      <alignment horizontal="right"/>
    </xf>
    <xf numFmtId="49" fontId="0" fillId="21" borderId="0" xfId="0" applyNumberFormat="1" applyFill="1" applyAlignment="1"/>
    <xf numFmtId="0" fontId="118" fillId="21" borderId="81" xfId="0" applyFont="1" applyFill="1" applyBorder="1" applyAlignment="1">
      <alignment horizontal="center" vertical="center"/>
    </xf>
    <xf numFmtId="0" fontId="118" fillId="21" borderId="72" xfId="0" applyFont="1" applyFill="1" applyBorder="1" applyAlignment="1">
      <alignment horizontal="center" vertical="center"/>
    </xf>
    <xf numFmtId="0" fontId="118" fillId="21" borderId="72" xfId="0" applyFont="1" applyFill="1" applyBorder="1" applyAlignment="1">
      <alignment horizontal="right" vertical="center"/>
    </xf>
    <xf numFmtId="0" fontId="118" fillId="21" borderId="78" xfId="0" applyFont="1" applyFill="1" applyBorder="1" applyAlignment="1">
      <alignment horizontal="center" vertical="center"/>
    </xf>
    <xf numFmtId="0" fontId="3" fillId="0" borderId="27" xfId="0" applyNumberFormat="1" applyFont="1" applyBorder="1" applyAlignment="1">
      <alignment horizontal="center"/>
    </xf>
    <xf numFmtId="3" fontId="3" fillId="0" borderId="27" xfId="0" applyNumberFormat="1" applyFont="1" applyBorder="1" applyAlignment="1"/>
    <xf numFmtId="3" fontId="3" fillId="0" borderId="36" xfId="0" applyNumberFormat="1" applyFont="1" applyBorder="1" applyAlignment="1"/>
    <xf numFmtId="0" fontId="3" fillId="0" borderId="105" xfId="0" applyNumberFormat="1" applyFont="1" applyBorder="1" applyAlignment="1">
      <alignment horizontal="center"/>
    </xf>
    <xf numFmtId="3" fontId="3" fillId="0" borderId="105" xfId="0" applyNumberFormat="1" applyFont="1" applyBorder="1" applyAlignment="1"/>
    <xf numFmtId="3" fontId="3" fillId="0" borderId="1" xfId="0" applyNumberFormat="1" applyFont="1" applyBorder="1" applyAlignment="1"/>
    <xf numFmtId="0" fontId="3" fillId="0" borderId="3" xfId="0" applyNumberFormat="1" applyFont="1" applyBorder="1" applyAlignment="1">
      <alignment horizontal="center"/>
    </xf>
    <xf numFmtId="3" fontId="3" fillId="0" borderId="3" xfId="0" applyNumberFormat="1" applyFont="1" applyBorder="1" applyAlignment="1"/>
    <xf numFmtId="3" fontId="3" fillId="0" borderId="9" xfId="0" applyNumberFormat="1" applyFont="1" applyBorder="1" applyAlignment="1"/>
    <xf numFmtId="0" fontId="140" fillId="0" borderId="0" xfId="0" applyNumberFormat="1" applyFont="1"/>
    <xf numFmtId="3" fontId="140" fillId="0" borderId="0" xfId="0" applyNumberFormat="1" applyFont="1"/>
    <xf numFmtId="0" fontId="11" fillId="7" borderId="62" xfId="0" applyFont="1" applyFill="1" applyBorder="1" applyAlignment="1">
      <alignment vertical="center"/>
    </xf>
    <xf numFmtId="14" fontId="3" fillId="7" borderId="4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wrapText="1"/>
    </xf>
    <xf numFmtId="0" fontId="0" fillId="0" borderId="37" xfId="0" applyBorder="1" applyAlignment="1">
      <alignment vertical="center"/>
    </xf>
    <xf numFmtId="0" fontId="3" fillId="7" borderId="34" xfId="0" applyFont="1" applyFill="1" applyBorder="1" applyAlignment="1">
      <alignment vertical="center"/>
    </xf>
    <xf numFmtId="0" fontId="3" fillId="2" borderId="0" xfId="0" applyFont="1" applyFill="1" applyAlignment="1">
      <alignment horizontal="center"/>
    </xf>
    <xf numFmtId="0" fontId="3" fillId="7" borderId="37" xfId="0" applyFont="1" applyFill="1" applyBorder="1" applyAlignment="1">
      <alignment vertical="center"/>
    </xf>
    <xf numFmtId="0" fontId="3" fillId="2" borderId="37" xfId="0" applyFont="1" applyFill="1" applyBorder="1" applyAlignment="1">
      <alignment vertical="center"/>
    </xf>
    <xf numFmtId="0" fontId="0" fillId="0" borderId="0" xfId="0"/>
    <xf numFmtId="0" fontId="0" fillId="0" borderId="0" xfId="0" applyAlignment="1">
      <alignment vertical="center"/>
    </xf>
    <xf numFmtId="0" fontId="120" fillId="24" borderId="0" xfId="0" applyFont="1" applyFill="1" applyAlignment="1">
      <alignment horizontal="center" vertical="center"/>
    </xf>
    <xf numFmtId="0" fontId="0" fillId="7" borderId="0" xfId="0" applyFill="1" applyAlignment="1">
      <alignment vertical="center"/>
    </xf>
    <xf numFmtId="0" fontId="0" fillId="0" borderId="0" xfId="0"/>
    <xf numFmtId="0" fontId="3" fillId="7" borderId="0" xfId="0" applyFont="1" applyFill="1" applyAlignment="1">
      <alignment horizontal="center"/>
    </xf>
    <xf numFmtId="0" fontId="3" fillId="7" borderId="0" xfId="0" applyFont="1" applyFill="1"/>
    <xf numFmtId="0" fontId="2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vertical="center"/>
    </xf>
    <xf numFmtId="0" fontId="3" fillId="7" borderId="122" xfId="0" applyFont="1" applyFill="1" applyBorder="1" applyAlignment="1">
      <alignment vertical="center"/>
    </xf>
    <xf numFmtId="0" fontId="3" fillId="7" borderId="112" xfId="0" applyFont="1" applyFill="1" applyBorder="1" applyAlignment="1">
      <alignment vertical="center"/>
    </xf>
    <xf numFmtId="0" fontId="58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49" fontId="11" fillId="7" borderId="0" xfId="0" applyNumberFormat="1" applyFont="1" applyFill="1" applyAlignment="1">
      <alignment horizontal="right" vertical="center"/>
    </xf>
    <xf numFmtId="0" fontId="2" fillId="7" borderId="2" xfId="0" applyFont="1" applyFill="1" applyBorder="1" applyAlignment="1">
      <alignment horizontal="center" vertical="center"/>
    </xf>
    <xf numFmtId="0" fontId="58" fillId="7" borderId="37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vertical="center"/>
    </xf>
    <xf numFmtId="0" fontId="3" fillId="7" borderId="134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3" fontId="3" fillId="7" borderId="0" xfId="0" applyNumberFormat="1" applyFont="1" applyFill="1" applyAlignment="1">
      <alignment vertical="center"/>
    </xf>
    <xf numFmtId="0" fontId="36" fillId="2" borderId="124" xfId="0" applyFont="1" applyFill="1" applyBorder="1" applyAlignment="1">
      <alignment horizontal="center" vertical="center"/>
    </xf>
    <xf numFmtId="0" fontId="11" fillId="2" borderId="0" xfId="0" applyFont="1" applyFill="1"/>
    <xf numFmtId="49" fontId="141" fillId="5" borderId="0" xfId="0" applyNumberFormat="1" applyFont="1" applyFill="1" applyAlignment="1">
      <alignment vertical="center"/>
    </xf>
    <xf numFmtId="49" fontId="3" fillId="5" borderId="0" xfId="0" applyNumberFormat="1" applyFont="1" applyFill="1"/>
    <xf numFmtId="49" fontId="3" fillId="10" borderId="0" xfId="0" applyNumberFormat="1" applyFont="1" applyFill="1"/>
    <xf numFmtId="0" fontId="0" fillId="0" borderId="134" xfId="0" applyBorder="1" applyAlignment="1">
      <alignment vertical="center"/>
    </xf>
    <xf numFmtId="0" fontId="3" fillId="7" borderId="0" xfId="0" applyFont="1" applyFill="1" applyAlignment="1">
      <alignment horizontal="left" vertical="center"/>
    </xf>
    <xf numFmtId="0" fontId="2" fillId="7" borderId="34" xfId="0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58" fillId="7" borderId="34" xfId="0" applyFont="1" applyFill="1" applyBorder="1" applyAlignment="1">
      <alignment wrapText="1"/>
    </xf>
    <xf numFmtId="0" fontId="78" fillId="7" borderId="0" xfId="0" applyFont="1" applyFill="1" applyAlignment="1">
      <alignment horizontal="center"/>
    </xf>
    <xf numFmtId="0" fontId="0" fillId="14" borderId="0" xfId="0" applyFill="1"/>
    <xf numFmtId="0" fontId="111" fillId="7" borderId="0" xfId="0" applyFont="1" applyFill="1" applyAlignment="1">
      <alignment vertical="center"/>
    </xf>
    <xf numFmtId="0" fontId="2" fillId="7" borderId="143" xfId="0" applyFont="1" applyFill="1" applyBorder="1" applyAlignment="1" applyProtection="1">
      <alignment horizontal="center" vertical="center"/>
      <protection locked="0"/>
    </xf>
    <xf numFmtId="0" fontId="145" fillId="31" borderId="0" xfId="0" applyFont="1" applyFill="1" applyAlignment="1">
      <alignment vertical="center"/>
    </xf>
    <xf numFmtId="0" fontId="31" fillId="5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91" fillId="31" borderId="0" xfId="0" applyFont="1" applyFill="1" applyAlignment="1">
      <alignment vertical="center"/>
    </xf>
    <xf numFmtId="0" fontId="145" fillId="30" borderId="0" xfId="0" applyFont="1" applyFill="1" applyAlignment="1">
      <alignment vertical="center"/>
    </xf>
    <xf numFmtId="0" fontId="2" fillId="7" borderId="147" xfId="0" applyFont="1" applyFill="1" applyBorder="1" applyAlignment="1" applyProtection="1">
      <alignment horizontal="center" vertical="center"/>
      <protection locked="0"/>
    </xf>
    <xf numFmtId="0" fontId="0" fillId="31" borderId="138" xfId="0" applyFill="1" applyBorder="1"/>
    <xf numFmtId="0" fontId="57" fillId="13" borderId="143" xfId="0" applyFont="1" applyFill="1" applyBorder="1" applyAlignment="1" applyProtection="1">
      <alignment horizontal="center" vertical="center"/>
      <protection locked="0"/>
    </xf>
    <xf numFmtId="0" fontId="0" fillId="31" borderId="0" xfId="0" applyFill="1"/>
    <xf numFmtId="0" fontId="149" fillId="31" borderId="0" xfId="0" applyFont="1" applyFill="1" applyAlignment="1">
      <alignment horizontal="center"/>
    </xf>
    <xf numFmtId="0" fontId="111" fillId="32" borderId="135" xfId="0" applyFont="1" applyFill="1" applyBorder="1" applyAlignment="1">
      <alignment vertical="center"/>
    </xf>
    <xf numFmtId="0" fontId="150" fillId="32" borderId="136" xfId="0" applyFont="1" applyFill="1" applyBorder="1" applyAlignment="1">
      <alignment horizontal="left"/>
    </xf>
    <xf numFmtId="0" fontId="0" fillId="32" borderId="138" xfId="0" applyFill="1" applyBorder="1"/>
    <xf numFmtId="0" fontId="0" fillId="32" borderId="0" xfId="0" applyFill="1" applyAlignment="1">
      <alignment vertical="center"/>
    </xf>
    <xf numFmtId="0" fontId="0" fillId="31" borderId="139" xfId="0" applyFill="1" applyBorder="1"/>
    <xf numFmtId="0" fontId="86" fillId="31" borderId="0" xfId="0" applyFont="1" applyFill="1"/>
    <xf numFmtId="0" fontId="86" fillId="7" borderId="62" xfId="0" applyFont="1" applyFill="1" applyBorder="1"/>
    <xf numFmtId="0" fontId="0" fillId="19" borderId="0" xfId="0" applyFill="1" applyAlignment="1">
      <alignment vertical="center"/>
    </xf>
    <xf numFmtId="0" fontId="0" fillId="19" borderId="105" xfId="0" applyFill="1" applyBorder="1" applyAlignment="1">
      <alignment vertical="center"/>
    </xf>
    <xf numFmtId="0" fontId="0" fillId="7" borderId="0" xfId="0" applyFill="1" applyAlignment="1" applyProtection="1">
      <alignment vertical="center"/>
      <protection locked="0"/>
    </xf>
    <xf numFmtId="49" fontId="3" fillId="6" borderId="52" xfId="0" applyNumberFormat="1" applyFont="1" applyFill="1" applyBorder="1" applyAlignment="1" applyProtection="1">
      <alignment horizontal="left" vertical="center"/>
      <protection locked="0"/>
    </xf>
    <xf numFmtId="0" fontId="81" fillId="7" borderId="0" xfId="0" applyFont="1" applyFill="1" applyAlignment="1" applyProtection="1">
      <alignment vertical="center"/>
      <protection locked="0"/>
    </xf>
    <xf numFmtId="0" fontId="87" fillId="2" borderId="0" xfId="0" applyFont="1" applyFill="1" applyAlignment="1" applyProtection="1">
      <alignment vertical="center"/>
      <protection locked="0"/>
    </xf>
    <xf numFmtId="49" fontId="11" fillId="7" borderId="0" xfId="0" applyNumberFormat="1" applyFont="1" applyFill="1" applyAlignment="1">
      <alignment horizontal="right" vertical="center"/>
    </xf>
    <xf numFmtId="0" fontId="2" fillId="7" borderId="105" xfId="0" applyFont="1" applyFill="1" applyBorder="1" applyAlignment="1" applyProtection="1">
      <alignment horizontal="center" vertical="center"/>
      <protection locked="0"/>
    </xf>
    <xf numFmtId="0" fontId="58" fillId="7" borderId="122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8" fillId="3" borderId="4" xfId="0" applyFont="1" applyFill="1" applyBorder="1" applyAlignment="1">
      <alignment horizontal="center" vertical="center"/>
    </xf>
    <xf numFmtId="0" fontId="0" fillId="0" borderId="0" xfId="0"/>
    <xf numFmtId="0" fontId="0" fillId="7" borderId="0" xfId="0" applyFill="1"/>
    <xf numFmtId="0" fontId="0" fillId="7" borderId="0" xfId="0" applyFill="1" applyAlignment="1">
      <alignment vertical="center"/>
    </xf>
    <xf numFmtId="0" fontId="124" fillId="19" borderId="83" xfId="11" applyFont="1" applyFill="1" applyBorder="1" applyAlignment="1" applyProtection="1">
      <alignment horizontal="center" vertical="center"/>
      <protection locked="0"/>
    </xf>
    <xf numFmtId="0" fontId="8" fillId="2" borderId="7" xfId="0" applyFont="1" applyFill="1" applyBorder="1" applyAlignment="1">
      <alignment horizontal="left" vertical="top" wrapText="1"/>
    </xf>
    <xf numFmtId="0" fontId="13" fillId="3" borderId="5" xfId="0" applyFont="1" applyFill="1" applyBorder="1" applyAlignment="1">
      <alignment horizontal="center" vertical="center"/>
    </xf>
    <xf numFmtId="0" fontId="25" fillId="6" borderId="157" xfId="0" applyFont="1" applyFill="1" applyBorder="1" applyAlignment="1">
      <alignment vertical="center"/>
    </xf>
    <xf numFmtId="0" fontId="13" fillId="23" borderId="5" xfId="0" applyFont="1" applyFill="1" applyBorder="1" applyAlignment="1">
      <alignment horizontal="center" vertical="center"/>
    </xf>
    <xf numFmtId="0" fontId="8" fillId="23" borderId="8" xfId="0" applyFont="1" applyFill="1" applyBorder="1" applyAlignment="1">
      <alignment horizontal="center" vertical="center"/>
    </xf>
    <xf numFmtId="0" fontId="8" fillId="23" borderId="5" xfId="0" applyFont="1" applyFill="1" applyBorder="1" applyAlignment="1">
      <alignment horizontal="center" vertical="center"/>
    </xf>
    <xf numFmtId="0" fontId="13" fillId="3" borderId="15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/>
    </xf>
    <xf numFmtId="3" fontId="25" fillId="2" borderId="2" xfId="0" applyNumberFormat="1" applyFont="1" applyFill="1" applyBorder="1" applyAlignment="1">
      <alignment horizontal="center" vertical="center"/>
    </xf>
    <xf numFmtId="10" fontId="25" fillId="2" borderId="2" xfId="0" applyNumberFormat="1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>
      <alignment horizontal="center" vertical="center"/>
    </xf>
    <xf numFmtId="0" fontId="25" fillId="3" borderId="21" xfId="0" applyFont="1" applyFill="1" applyBorder="1" applyAlignment="1">
      <alignment horizontal="left"/>
    </xf>
    <xf numFmtId="0" fontId="3" fillId="0" borderId="41" xfId="10" applyBorder="1" applyAlignment="1">
      <alignment vertical="center"/>
    </xf>
    <xf numFmtId="0" fontId="3" fillId="7" borderId="0" xfId="10" applyFill="1"/>
    <xf numFmtId="0" fontId="3" fillId="7" borderId="0" xfId="10" applyFill="1" applyAlignment="1">
      <alignment vertical="center"/>
    </xf>
    <xf numFmtId="0" fontId="3" fillId="0" borderId="0" xfId="10" applyAlignment="1">
      <alignment vertical="center"/>
    </xf>
    <xf numFmtId="0" fontId="14" fillId="3" borderId="0" xfId="10" applyFont="1" applyFill="1" applyAlignment="1">
      <alignment wrapText="1" shrinkToFit="1"/>
    </xf>
    <xf numFmtId="0" fontId="13" fillId="3" borderId="151" xfId="10" applyFont="1" applyFill="1" applyBorder="1" applyAlignment="1">
      <alignment horizontal="center" vertical="center"/>
    </xf>
    <xf numFmtId="0" fontId="13" fillId="3" borderId="1" xfId="10" applyFont="1" applyFill="1" applyBorder="1" applyAlignment="1">
      <alignment horizontal="center" vertical="center"/>
    </xf>
    <xf numFmtId="0" fontId="13" fillId="3" borderId="8" xfId="10" applyFont="1" applyFill="1" applyBorder="1" applyAlignment="1">
      <alignment horizontal="center" vertical="center"/>
    </xf>
    <xf numFmtId="3" fontId="25" fillId="2" borderId="2" xfId="10" applyNumberFormat="1" applyFont="1" applyFill="1" applyBorder="1" applyAlignment="1" applyProtection="1">
      <alignment horizontal="center" vertical="center"/>
      <protection locked="0"/>
    </xf>
    <xf numFmtId="0" fontId="25" fillId="3" borderId="1" xfId="10" applyFont="1" applyFill="1" applyBorder="1" applyAlignment="1">
      <alignment horizontal="left"/>
    </xf>
    <xf numFmtId="3" fontId="25" fillId="2" borderId="2" xfId="10" applyNumberFormat="1" applyFont="1" applyFill="1" applyBorder="1" applyAlignment="1">
      <alignment horizontal="center" vertical="center"/>
    </xf>
    <xf numFmtId="0" fontId="31" fillId="7" borderId="0" xfId="10" applyFont="1" applyFill="1"/>
    <xf numFmtId="0" fontId="31" fillId="0" borderId="0" xfId="10" applyFont="1"/>
    <xf numFmtId="0" fontId="5" fillId="4" borderId="0" xfId="10" applyFont="1" applyFill="1"/>
    <xf numFmtId="0" fontId="3" fillId="4" borderId="0" xfId="10" applyFill="1"/>
    <xf numFmtId="0" fontId="6" fillId="23" borderId="28" xfId="10" applyFont="1" applyFill="1" applyBorder="1" applyAlignment="1">
      <alignment horizontal="center" vertical="center" wrapText="1"/>
    </xf>
    <xf numFmtId="0" fontId="6" fillId="23" borderId="27" xfId="10" applyFont="1" applyFill="1" applyBorder="1" applyAlignment="1">
      <alignment horizontal="center" vertical="center" wrapText="1"/>
    </xf>
    <xf numFmtId="0" fontId="6" fillId="23" borderId="33" xfId="10" applyFont="1" applyFill="1" applyBorder="1" applyAlignment="1">
      <alignment horizontal="center" vertical="center" wrapText="1"/>
    </xf>
    <xf numFmtId="0" fontId="6" fillId="23" borderId="36" xfId="10" applyFont="1" applyFill="1" applyBorder="1" applyAlignment="1">
      <alignment horizontal="center" vertical="center" wrapText="1"/>
    </xf>
    <xf numFmtId="0" fontId="6" fillId="4" borderId="0" xfId="10" applyFont="1" applyFill="1" applyAlignment="1">
      <alignment horizontal="right"/>
    </xf>
    <xf numFmtId="0" fontId="68" fillId="24" borderId="0" xfId="10" applyFont="1" applyFill="1" applyAlignment="1">
      <alignment horizontal="left" vertical="center"/>
    </xf>
    <xf numFmtId="14" fontId="3" fillId="23" borderId="10" xfId="3" applyNumberFormat="1" applyFill="1" applyBorder="1" applyAlignment="1">
      <alignment horizontal="center" vertical="center"/>
    </xf>
    <xf numFmtId="3" fontId="5" fillId="2" borderId="105" xfId="10" applyNumberFormat="1" applyFont="1" applyFill="1" applyBorder="1" applyAlignment="1">
      <alignment horizontal="center" vertical="center"/>
    </xf>
    <xf numFmtId="3" fontId="5" fillId="2" borderId="151" xfId="10" applyNumberFormat="1" applyFont="1" applyFill="1" applyBorder="1" applyAlignment="1">
      <alignment horizontal="center" vertical="center"/>
    </xf>
    <xf numFmtId="3" fontId="5" fillId="2" borderId="1" xfId="10" applyNumberFormat="1" applyFont="1" applyFill="1" applyBorder="1" applyAlignment="1">
      <alignment horizontal="center" vertical="center"/>
    </xf>
    <xf numFmtId="0" fontId="160" fillId="23" borderId="0" xfId="10" applyFont="1" applyFill="1" applyAlignment="1">
      <alignment horizontal="center" vertical="center"/>
    </xf>
    <xf numFmtId="165" fontId="3" fillId="23" borderId="10" xfId="3" applyNumberFormat="1" applyFill="1" applyBorder="1" applyAlignment="1">
      <alignment horizontal="center" vertical="center" wrapText="1"/>
    </xf>
    <xf numFmtId="14" fontId="5" fillId="23" borderId="8" xfId="10" applyNumberFormat="1" applyFont="1" applyFill="1" applyBorder="1" applyAlignment="1">
      <alignment horizontal="center" vertical="center"/>
    </xf>
    <xf numFmtId="3" fontId="3" fillId="2" borderId="105" xfId="10" applyNumberFormat="1" applyFill="1" applyBorder="1" applyAlignment="1">
      <alignment horizontal="center" vertical="center"/>
    </xf>
    <xf numFmtId="14" fontId="3" fillId="23" borderId="11" xfId="3" applyNumberFormat="1" applyFill="1" applyBorder="1" applyAlignment="1">
      <alignment horizontal="center" vertical="center"/>
    </xf>
    <xf numFmtId="3" fontId="3" fillId="2" borderId="3" xfId="10" applyNumberFormat="1" applyFill="1" applyBorder="1" applyAlignment="1">
      <alignment horizontal="center" vertical="center"/>
    </xf>
    <xf numFmtId="3" fontId="5" fillId="2" borderId="3" xfId="10" applyNumberFormat="1" applyFont="1" applyFill="1" applyBorder="1" applyAlignment="1">
      <alignment horizontal="center" vertical="center"/>
    </xf>
    <xf numFmtId="3" fontId="5" fillId="2" borderId="9" xfId="10" applyNumberFormat="1" applyFont="1" applyFill="1" applyBorder="1" applyAlignment="1">
      <alignment horizontal="center" vertical="center"/>
    </xf>
    <xf numFmtId="16" fontId="5" fillId="4" borderId="0" xfId="10" applyNumberFormat="1" applyFont="1" applyFill="1" applyAlignment="1">
      <alignment horizontal="center"/>
    </xf>
    <xf numFmtId="0" fontId="0" fillId="0" borderId="0" xfId="0"/>
    <xf numFmtId="0" fontId="0" fillId="0" borderId="71" xfId="0" applyBorder="1" applyAlignment="1"/>
    <xf numFmtId="0" fontId="0" fillId="19" borderId="37" xfId="0" applyFill="1" applyBorder="1" applyAlignment="1">
      <alignment vertical="center"/>
    </xf>
    <xf numFmtId="0" fontId="0" fillId="0" borderId="124" xfId="0" applyBorder="1" applyAlignment="1">
      <alignment vertical="center" wrapText="1"/>
    </xf>
    <xf numFmtId="0" fontId="0" fillId="0" borderId="107" xfId="0" applyBorder="1" applyAlignment="1"/>
    <xf numFmtId="0" fontId="11" fillId="19" borderId="125" xfId="0" applyFont="1" applyFill="1" applyBorder="1" applyAlignment="1">
      <alignment horizontal="right" vertical="center" wrapText="1"/>
    </xf>
    <xf numFmtId="0" fontId="11" fillId="0" borderId="158" xfId="0" applyFont="1" applyBorder="1" applyAlignment="1">
      <alignment horizontal="right" vertical="center" wrapText="1"/>
    </xf>
    <xf numFmtId="0" fontId="2" fillId="0" borderId="105" xfId="0" applyFont="1" applyBorder="1" applyAlignment="1" applyProtection="1">
      <alignment horizontal="center" vertical="center" wrapText="1"/>
      <protection locked="0"/>
    </xf>
    <xf numFmtId="0" fontId="2" fillId="7" borderId="121" xfId="0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22" xfId="0" applyFont="1" applyFill="1" applyBorder="1" applyAlignment="1">
      <alignment vertical="center"/>
    </xf>
    <xf numFmtId="0" fontId="3" fillId="7" borderId="0" xfId="0" applyFont="1" applyFill="1" applyBorder="1" applyAlignment="1">
      <alignment vertical="center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0" fontId="0" fillId="5" borderId="0" xfId="0" applyFill="1" applyBorder="1"/>
    <xf numFmtId="0" fontId="0" fillId="10" borderId="0" xfId="0" applyFill="1" applyBorder="1"/>
    <xf numFmtId="0" fontId="0" fillId="0" borderId="0" xfId="0"/>
    <xf numFmtId="0" fontId="0" fillId="19" borderId="0" xfId="0" applyFill="1" applyBorder="1" applyAlignment="1">
      <alignment vertical="center"/>
    </xf>
    <xf numFmtId="0" fontId="120" fillId="24" borderId="0" xfId="0" applyFont="1" applyFill="1" applyAlignment="1">
      <alignment horizontal="center" vertical="center"/>
    </xf>
    <xf numFmtId="0" fontId="111" fillId="31" borderId="0" xfId="0" applyFont="1" applyFill="1"/>
    <xf numFmtId="0" fontId="0" fillId="31" borderId="138" xfId="0" applyFill="1" applyBorder="1"/>
    <xf numFmtId="0" fontId="0" fillId="31" borderId="0" xfId="0" applyFill="1"/>
    <xf numFmtId="0" fontId="0" fillId="30" borderId="139" xfId="0" applyFill="1" applyBorder="1" applyAlignment="1">
      <alignment vertical="center"/>
    </xf>
    <xf numFmtId="0" fontId="0" fillId="30" borderId="138" xfId="0" applyFill="1" applyBorder="1"/>
    <xf numFmtId="0" fontId="0" fillId="31" borderId="0" xfId="0" applyFill="1" applyAlignment="1">
      <alignment vertical="center"/>
    </xf>
    <xf numFmtId="0" fontId="156" fillId="31" borderId="138" xfId="0" applyFont="1" applyFill="1" applyBorder="1" applyAlignment="1">
      <alignment horizontal="left" vertical="center"/>
    </xf>
    <xf numFmtId="0" fontId="0" fillId="31" borderId="138" xfId="0" applyFill="1" applyBorder="1" applyAlignment="1">
      <alignment vertical="center"/>
    </xf>
    <xf numFmtId="0" fontId="0" fillId="7" borderId="62" xfId="0" applyFill="1" applyBorder="1"/>
    <xf numFmtId="0" fontId="155" fillId="34" borderId="0" xfId="0" applyFont="1" applyFill="1" applyAlignment="1">
      <alignment horizontal="center"/>
    </xf>
    <xf numFmtId="0" fontId="111" fillId="32" borderId="138" xfId="0" applyFont="1" applyFill="1" applyBorder="1" applyAlignment="1">
      <alignment vertical="center"/>
    </xf>
    <xf numFmtId="0" fontId="150" fillId="32" borderId="0" xfId="0" applyFont="1" applyFill="1" applyAlignment="1">
      <alignment horizontal="left"/>
    </xf>
    <xf numFmtId="0" fontId="150" fillId="32" borderId="139" xfId="0" applyFont="1" applyFill="1" applyBorder="1" applyAlignment="1">
      <alignment horizontal="left"/>
    </xf>
    <xf numFmtId="0" fontId="121" fillId="25" borderId="149" xfId="0" applyFont="1" applyFill="1" applyBorder="1" applyAlignment="1" applyProtection="1">
      <alignment horizontal="center" vertical="center"/>
      <protection locked="0"/>
    </xf>
    <xf numFmtId="0" fontId="0" fillId="7" borderId="159" xfId="0" applyFill="1" applyBorder="1"/>
    <xf numFmtId="0" fontId="0" fillId="19" borderId="139" xfId="0" applyFill="1" applyBorder="1" applyAlignment="1">
      <alignment vertical="center"/>
    </xf>
    <xf numFmtId="0" fontId="57" fillId="13" borderId="105" xfId="0" applyFont="1" applyFill="1" applyBorder="1" applyAlignment="1" applyProtection="1">
      <alignment horizontal="center" vertical="center"/>
      <protection locked="0"/>
    </xf>
    <xf numFmtId="0" fontId="0" fillId="19" borderId="121" xfId="0" applyFill="1" applyBorder="1"/>
    <xf numFmtId="0" fontId="3" fillId="24" borderId="121" xfId="0" applyFont="1" applyFill="1" applyBorder="1" applyAlignment="1">
      <alignment vertical="center"/>
    </xf>
    <xf numFmtId="0" fontId="0" fillId="24" borderId="121" xfId="0" applyFill="1" applyBorder="1" applyAlignment="1">
      <alignment vertical="center"/>
    </xf>
    <xf numFmtId="0" fontId="158" fillId="24" borderId="121" xfId="0" applyFont="1" applyFill="1" applyBorder="1" applyAlignment="1">
      <alignment horizontal="left"/>
    </xf>
    <xf numFmtId="0" fontId="158" fillId="24" borderId="0" xfId="0" applyFont="1" applyFill="1" applyBorder="1" applyAlignment="1">
      <alignment horizontal="left"/>
    </xf>
    <xf numFmtId="0" fontId="31" fillId="7" borderId="0" xfId="0" applyFont="1" applyFill="1" applyBorder="1" applyAlignment="1">
      <alignment vertical="center"/>
    </xf>
    <xf numFmtId="0" fontId="91" fillId="7" borderId="0" xfId="0" applyFont="1" applyFill="1" applyBorder="1" applyAlignment="1">
      <alignment vertical="center"/>
    </xf>
    <xf numFmtId="0" fontId="31" fillId="0" borderId="150" xfId="0" applyFont="1" applyBorder="1" applyAlignment="1">
      <alignment vertical="center"/>
    </xf>
    <xf numFmtId="49" fontId="91" fillId="7" borderId="0" xfId="0" applyNumberFormat="1" applyFont="1" applyFill="1" applyBorder="1" applyAlignment="1">
      <alignment vertical="center"/>
    </xf>
    <xf numFmtId="0" fontId="2" fillId="7" borderId="163" xfId="0" applyFont="1" applyFill="1" applyBorder="1" applyAlignment="1" applyProtection="1">
      <alignment horizontal="center" vertical="center"/>
      <protection locked="0"/>
    </xf>
    <xf numFmtId="0" fontId="3" fillId="24" borderId="159" xfId="0" applyFont="1" applyFill="1" applyBorder="1"/>
    <xf numFmtId="0" fontId="7" fillId="25" borderId="0" xfId="0" applyFont="1" applyFill="1" applyBorder="1" applyAlignment="1">
      <alignment horizontal="center"/>
    </xf>
    <xf numFmtId="0" fontId="0" fillId="24" borderId="159" xfId="0" applyFill="1" applyBorder="1"/>
    <xf numFmtId="0" fontId="0" fillId="24" borderId="0" xfId="0" applyFill="1" applyBorder="1"/>
    <xf numFmtId="0" fontId="3" fillId="24" borderId="0" xfId="0" applyFont="1" applyFill="1" applyBorder="1"/>
    <xf numFmtId="0" fontId="58" fillId="24" borderId="0" xfId="0" applyFont="1" applyFill="1" applyBorder="1" applyAlignment="1">
      <alignment horizontal="center"/>
    </xf>
    <xf numFmtId="0" fontId="3" fillId="24" borderId="159" xfId="0" applyFont="1" applyFill="1" applyBorder="1" applyAlignment="1">
      <alignment vertical="center"/>
    </xf>
    <xf numFmtId="0" fontId="74" fillId="24" borderId="159" xfId="0" applyFont="1" applyFill="1" applyBorder="1" applyAlignment="1">
      <alignment horizontal="left" vertical="center"/>
    </xf>
    <xf numFmtId="0" fontId="158" fillId="24" borderId="62" xfId="0" applyFont="1" applyFill="1" applyBorder="1" applyAlignment="1">
      <alignment horizontal="left"/>
    </xf>
    <xf numFmtId="0" fontId="0" fillId="7" borderId="0" xfId="0" applyFill="1" applyBorder="1"/>
    <xf numFmtId="0" fontId="86" fillId="7" borderId="0" xfId="0" applyFont="1" applyFill="1" applyBorder="1"/>
    <xf numFmtId="0" fontId="0" fillId="14" borderId="0" xfId="0" applyFill="1" applyBorder="1"/>
    <xf numFmtId="0" fontId="89" fillId="7" borderId="159" xfId="0" applyFont="1" applyFill="1" applyBorder="1" applyAlignment="1">
      <alignment horizontal="center"/>
    </xf>
    <xf numFmtId="0" fontId="3" fillId="24" borderId="155" xfId="0" applyFont="1" applyFill="1" applyBorder="1" applyAlignment="1">
      <alignment vertical="center"/>
    </xf>
    <xf numFmtId="0" fontId="3" fillId="0" borderId="0" xfId="10"/>
    <xf numFmtId="0" fontId="11" fillId="6" borderId="158" xfId="10" applyFont="1" applyFill="1" applyBorder="1" applyAlignment="1">
      <alignment horizontal="center" vertical="center" wrapText="1"/>
    </xf>
    <xf numFmtId="0" fontId="11" fillId="6" borderId="92" xfId="10" applyFont="1" applyFill="1" applyBorder="1" applyAlignment="1">
      <alignment horizontal="center" vertical="center" wrapText="1"/>
    </xf>
    <xf numFmtId="0" fontId="8" fillId="3" borderId="10" xfId="10" applyFont="1" applyFill="1" applyBorder="1" applyAlignment="1">
      <alignment horizontal="center" vertical="center"/>
    </xf>
    <xf numFmtId="0" fontId="3" fillId="0" borderId="169" xfId="10" applyBorder="1" applyAlignment="1">
      <alignment horizontal="center" vertical="center"/>
    </xf>
    <xf numFmtId="0" fontId="3" fillId="0" borderId="169" xfId="10" applyBorder="1" applyAlignment="1" applyProtection="1">
      <alignment horizontal="center" vertical="center"/>
      <protection locked="0"/>
    </xf>
    <xf numFmtId="0" fontId="3" fillId="0" borderId="1" xfId="10" applyBorder="1" applyAlignment="1" applyProtection="1">
      <alignment horizontal="center" vertical="center"/>
      <protection locked="0"/>
    </xf>
    <xf numFmtId="0" fontId="8" fillId="3" borderId="11" xfId="10" applyFont="1" applyFill="1" applyBorder="1" applyAlignment="1">
      <alignment horizontal="center" vertical="center"/>
    </xf>
    <xf numFmtId="0" fontId="3" fillId="0" borderId="3" xfId="10" applyBorder="1" applyAlignment="1">
      <alignment horizontal="center" vertical="center"/>
    </xf>
    <xf numFmtId="0" fontId="3" fillId="0" borderId="9" xfId="1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1" fillId="6" borderId="158" xfId="0" applyFont="1" applyFill="1" applyBorder="1" applyAlignment="1">
      <alignment horizontal="center" vertical="center" wrapText="1"/>
    </xf>
    <xf numFmtId="0" fontId="0" fillId="0" borderId="169" xfId="0" applyNumberFormat="1" applyBorder="1" applyAlignment="1" applyProtection="1">
      <alignment horizontal="center" vertical="center"/>
      <protection locked="0"/>
    </xf>
    <xf numFmtId="0" fontId="0" fillId="0" borderId="169" xfId="0" applyBorder="1" applyAlignment="1" applyProtection="1">
      <alignment horizontal="center" vertical="center"/>
      <protection locked="0"/>
    </xf>
    <xf numFmtId="10" fontId="0" fillId="0" borderId="0" xfId="0" applyNumberFormat="1"/>
    <xf numFmtId="0" fontId="165" fillId="0" borderId="0" xfId="0" applyFont="1"/>
    <xf numFmtId="0" fontId="3" fillId="2" borderId="0" xfId="10" applyFill="1" applyAlignment="1">
      <alignment vertical="top" wrapText="1"/>
    </xf>
    <xf numFmtId="0" fontId="3" fillId="0" borderId="0" xfId="10"/>
    <xf numFmtId="0" fontId="0" fillId="7" borderId="0" xfId="0" applyFill="1"/>
    <xf numFmtId="0" fontId="120" fillId="7" borderId="0" xfId="0" applyFont="1" applyFill="1"/>
    <xf numFmtId="0" fontId="80" fillId="2" borderId="0" xfId="10" applyFont="1" applyFill="1" applyAlignment="1">
      <alignment vertical="center"/>
    </xf>
    <xf numFmtId="0" fontId="3" fillId="2" borderId="0" xfId="10" applyFill="1" applyAlignment="1">
      <alignment vertical="top" wrapText="1"/>
    </xf>
    <xf numFmtId="0" fontId="65" fillId="3" borderId="0" xfId="10" applyFont="1" applyFill="1" applyAlignment="1">
      <alignment horizontal="center" wrapText="1"/>
    </xf>
    <xf numFmtId="0" fontId="134" fillId="3" borderId="0" xfId="10" applyFont="1" applyFill="1" applyAlignment="1">
      <alignment horizontal="center"/>
    </xf>
    <xf numFmtId="0" fontId="30" fillId="3" borderId="0" xfId="0" applyFont="1" applyFill="1" applyAlignment="1">
      <alignment horizontal="center" vertical="center" wrapText="1"/>
    </xf>
    <xf numFmtId="0" fontId="164" fillId="3" borderId="0" xfId="0" applyFont="1" applyFill="1" applyAlignment="1">
      <alignment horizontal="center" vertical="center" wrapText="1"/>
    </xf>
    <xf numFmtId="0" fontId="30" fillId="3" borderId="0" xfId="10" applyFont="1" applyFill="1" applyAlignment="1">
      <alignment horizontal="left" vertical="center" wrapText="1"/>
    </xf>
    <xf numFmtId="0" fontId="87" fillId="0" borderId="0" xfId="10" applyFont="1" applyAlignment="1">
      <alignment horizontal="left" vertical="center" wrapText="1"/>
    </xf>
    <xf numFmtId="0" fontId="134" fillId="3" borderId="0" xfId="10" applyFont="1" applyFill="1" applyAlignment="1">
      <alignment horizontal="left" vertical="center" wrapText="1"/>
    </xf>
    <xf numFmtId="0" fontId="137" fillId="3" borderId="0" xfId="10" applyFont="1" applyFill="1" applyAlignment="1">
      <alignment horizontal="left" vertical="center" wrapText="1"/>
    </xf>
    <xf numFmtId="0" fontId="30" fillId="3" borderId="0" xfId="10" applyFont="1" applyFill="1" applyAlignment="1">
      <alignment horizontal="center" wrapText="1"/>
    </xf>
    <xf numFmtId="0" fontId="138" fillId="6" borderId="0" xfId="5" applyFont="1" applyFill="1" applyAlignment="1" applyProtection="1">
      <alignment horizontal="center" wrapText="1"/>
    </xf>
    <xf numFmtId="0" fontId="138" fillId="6" borderId="0" xfId="10" applyFont="1" applyFill="1" applyAlignment="1">
      <alignment horizontal="center" wrapText="1"/>
    </xf>
    <xf numFmtId="0" fontId="10" fillId="3" borderId="0" xfId="10" applyFont="1" applyFill="1" applyAlignment="1">
      <alignment horizontal="center" wrapText="1"/>
    </xf>
    <xf numFmtId="0" fontId="87" fillId="3" borderId="0" xfId="0" applyFont="1" applyFill="1" applyAlignment="1">
      <alignment horizontal="left" wrapText="1" shrinkToFit="1"/>
    </xf>
    <xf numFmtId="0" fontId="29" fillId="3" borderId="0" xfId="10" applyFont="1" applyFill="1" applyAlignment="1">
      <alignment horizontal="center" wrapText="1"/>
    </xf>
    <xf numFmtId="0" fontId="0" fillId="15" borderId="0" xfId="0" applyFill="1" applyAlignment="1"/>
    <xf numFmtId="0" fontId="0" fillId="0" borderId="0" xfId="0" applyAlignment="1"/>
    <xf numFmtId="0" fontId="70" fillId="7" borderId="0" xfId="0" applyFont="1" applyFill="1" applyAlignment="1">
      <alignment horizontal="center" vertical="center"/>
    </xf>
    <xf numFmtId="0" fontId="70" fillId="7" borderId="67" xfId="0" applyFont="1" applyFill="1" applyBorder="1" applyAlignment="1">
      <alignment vertical="center"/>
    </xf>
    <xf numFmtId="0" fontId="0" fillId="0" borderId="68" xfId="0" applyBorder="1" applyAlignment="1">
      <alignment vertical="center"/>
    </xf>
    <xf numFmtId="0" fontId="82" fillId="7" borderId="52" xfId="0" applyFont="1" applyFill="1" applyBorder="1" applyAlignment="1" applyProtection="1">
      <alignment horizontal="center" vertical="center"/>
      <protection locked="0"/>
    </xf>
    <xf numFmtId="0" fontId="82" fillId="0" borderId="0" xfId="0" applyFont="1" applyAlignment="1" applyProtection="1">
      <alignment horizontal="center" vertical="center"/>
      <protection locked="0"/>
    </xf>
    <xf numFmtId="0" fontId="82" fillId="0" borderId="53" xfId="0" applyFont="1" applyBorder="1" applyAlignment="1" applyProtection="1">
      <alignment horizontal="center" vertical="center"/>
      <protection locked="0"/>
    </xf>
    <xf numFmtId="0" fontId="73" fillId="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3" fillId="7" borderId="0" xfId="0" applyFont="1" applyFill="1" applyAlignment="1">
      <alignment horizontal="center" vertical="center"/>
    </xf>
    <xf numFmtId="0" fontId="3" fillId="12" borderId="52" xfId="0" applyFont="1" applyFill="1" applyBorder="1" applyAlignment="1" applyProtection="1">
      <alignment vertical="top"/>
      <protection locked="0"/>
    </xf>
    <xf numFmtId="0" fontId="0" fillId="12" borderId="52" xfId="0" applyFill="1" applyBorder="1" applyAlignment="1" applyProtection="1">
      <alignment vertical="top"/>
      <protection locked="0"/>
    </xf>
    <xf numFmtId="0" fontId="0" fillId="11" borderId="69" xfId="0" applyFill="1" applyBorder="1" applyAlignment="1" applyProtection="1">
      <alignment vertical="top"/>
      <protection locked="0"/>
    </xf>
    <xf numFmtId="0" fontId="0" fillId="11" borderId="53" xfId="0" applyFill="1" applyBorder="1" applyAlignment="1" applyProtection="1">
      <alignment vertical="top"/>
      <protection locked="0"/>
    </xf>
    <xf numFmtId="0" fontId="66" fillId="23" borderId="0" xfId="7" applyFont="1" applyFill="1" applyAlignment="1"/>
    <xf numFmtId="0" fontId="5" fillId="23" borderId="0" xfId="7" applyFill="1" applyAlignment="1"/>
    <xf numFmtId="0" fontId="5" fillId="2" borderId="22" xfId="0" applyNumberFormat="1" applyFont="1" applyFill="1" applyBorder="1" applyAlignment="1" applyProtection="1">
      <alignment horizontal="center"/>
      <protection locked="0"/>
    </xf>
    <xf numFmtId="0" fontId="0" fillId="0" borderId="22" xfId="0" applyBorder="1" applyAlignment="1" applyProtection="1">
      <protection locked="0"/>
    </xf>
    <xf numFmtId="0" fontId="0" fillId="0" borderId="70" xfId="0" applyBorder="1" applyAlignment="1" applyProtection="1">
      <protection locked="0"/>
    </xf>
    <xf numFmtId="49" fontId="5" fillId="2" borderId="24" xfId="0" applyNumberFormat="1" applyFont="1" applyFill="1" applyBorder="1" applyAlignment="1" applyProtection="1">
      <alignment horizontal="center"/>
      <protection locked="0"/>
    </xf>
    <xf numFmtId="0" fontId="26" fillId="0" borderId="57" xfId="0" applyNumberFormat="1" applyFont="1" applyBorder="1" applyAlignment="1" applyProtection="1">
      <alignment horizontal="center"/>
      <protection locked="0"/>
    </xf>
    <xf numFmtId="0" fontId="25" fillId="2" borderId="20" xfId="0" applyNumberFormat="1" applyFont="1" applyFill="1" applyBorder="1" applyAlignment="1" applyProtection="1">
      <alignment horizontal="center"/>
      <protection locked="0"/>
    </xf>
    <xf numFmtId="0" fontId="25" fillId="7" borderId="58" xfId="0" applyNumberFormat="1" applyFont="1" applyFill="1" applyBorder="1" applyAlignment="1" applyProtection="1">
      <alignment horizontal="center"/>
      <protection locked="0"/>
    </xf>
    <xf numFmtId="0" fontId="8" fillId="3" borderId="0" xfId="0" applyFont="1" applyFill="1" applyBorder="1" applyAlignment="1">
      <alignment horizontal="left"/>
    </xf>
    <xf numFmtId="0" fontId="0" fillId="0" borderId="0" xfId="0" applyBorder="1" applyAlignment="1"/>
    <xf numFmtId="0" fontId="20" fillId="3" borderId="34" xfId="0" applyFont="1" applyFill="1" applyBorder="1" applyAlignment="1" applyProtection="1">
      <alignment horizontal="right"/>
    </xf>
    <xf numFmtId="0" fontId="0" fillId="0" borderId="0" xfId="0" applyBorder="1" applyAlignment="1" applyProtection="1"/>
    <xf numFmtId="0" fontId="23" fillId="2" borderId="2" xfId="0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vertical="center"/>
    </xf>
    <xf numFmtId="0" fontId="13" fillId="3" borderId="0" xfId="0" applyFont="1" applyFill="1" applyAlignment="1"/>
    <xf numFmtId="0" fontId="27" fillId="3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14" fontId="5" fillId="2" borderId="26" xfId="0" applyNumberFormat="1" applyFont="1" applyFill="1" applyBorder="1" applyAlignment="1" applyProtection="1">
      <alignment horizontal="center"/>
      <protection locked="0"/>
    </xf>
    <xf numFmtId="0" fontId="0" fillId="2" borderId="71" xfId="0" applyFill="1" applyBorder="1" applyAlignment="1" applyProtection="1">
      <alignment horizontal="center"/>
      <protection locked="0"/>
    </xf>
    <xf numFmtId="0" fontId="6" fillId="3" borderId="0" xfId="0" applyFont="1" applyFill="1" applyAlignment="1">
      <alignment horizontal="center"/>
    </xf>
    <xf numFmtId="0" fontId="8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20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64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42" fillId="7" borderId="44" xfId="0" applyNumberFormat="1" applyFont="1" applyFill="1" applyBorder="1" applyAlignment="1" applyProtection="1">
      <alignment horizontal="center" vertical="center" wrapText="1"/>
      <protection locked="0"/>
    </xf>
    <xf numFmtId="49" fontId="52" fillId="2" borderId="24" xfId="5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5" fillId="2" borderId="24" xfId="0" applyNumberFormat="1" applyFont="1" applyFill="1" applyBorder="1" applyAlignment="1" applyProtection="1">
      <alignment horizontal="center" wrapText="1"/>
      <protection locked="0"/>
    </xf>
    <xf numFmtId="0" fontId="26" fillId="0" borderId="57" xfId="0" applyFont="1" applyBorder="1" applyAlignment="1" applyProtection="1">
      <alignment horizontal="center"/>
      <protection locked="0"/>
    </xf>
    <xf numFmtId="0" fontId="6" fillId="3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25" fillId="6" borderId="0" xfId="0" applyFont="1" applyFill="1" applyBorder="1" applyAlignment="1"/>
    <xf numFmtId="0" fontId="13" fillId="3" borderId="72" xfId="0" applyFont="1" applyFill="1" applyBorder="1" applyAlignment="1">
      <alignment horizontal="center" wrapText="1"/>
    </xf>
    <xf numFmtId="0" fontId="0" fillId="0" borderId="72" xfId="0" applyBorder="1" applyAlignment="1"/>
    <xf numFmtId="49" fontId="8" fillId="3" borderId="0" xfId="0" applyNumberFormat="1" applyFont="1" applyFill="1" applyBorder="1" applyAlignment="1">
      <alignment horizontal="left" vertical="center"/>
    </xf>
    <xf numFmtId="0" fontId="0" fillId="6" borderId="0" xfId="0" applyFill="1" applyBorder="1" applyAlignment="1">
      <alignment vertical="center"/>
    </xf>
    <xf numFmtId="0" fontId="0" fillId="0" borderId="37" xfId="0" applyBorder="1" applyAlignment="1">
      <alignment vertical="center"/>
    </xf>
    <xf numFmtId="0" fontId="8" fillId="2" borderId="7" xfId="0" applyNumberFormat="1" applyFont="1" applyFill="1" applyBorder="1" applyAlignment="1">
      <alignment horizontal="left" vertical="top"/>
    </xf>
    <xf numFmtId="0" fontId="0" fillId="0" borderId="24" xfId="0" applyNumberFormat="1" applyBorder="1" applyAlignment="1"/>
    <xf numFmtId="0" fontId="25" fillId="2" borderId="20" xfId="0" applyNumberFormat="1" applyFont="1" applyFill="1" applyBorder="1" applyAlignment="1" applyProtection="1">
      <alignment horizontal="left"/>
      <protection locked="0"/>
    </xf>
    <xf numFmtId="0" fontId="26" fillId="0" borderId="20" xfId="0" applyNumberFormat="1" applyFont="1" applyBorder="1" applyAlignment="1" applyProtection="1">
      <protection locked="0"/>
    </xf>
    <xf numFmtId="0" fontId="26" fillId="0" borderId="58" xfId="0" applyNumberFormat="1" applyFont="1" applyBorder="1" applyAlignment="1" applyProtection="1"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0" fillId="0" borderId="72" xfId="0" applyNumberFormat="1" applyBorder="1" applyAlignment="1" applyProtection="1">
      <protection locked="0"/>
    </xf>
    <xf numFmtId="49" fontId="0" fillId="0" borderId="73" xfId="0" applyNumberFormat="1" applyBorder="1" applyAlignment="1" applyProtection="1">
      <protection locked="0"/>
    </xf>
    <xf numFmtId="49" fontId="20" fillId="3" borderId="0" xfId="0" applyNumberFormat="1" applyFont="1" applyFill="1" applyAlignment="1"/>
    <xf numFmtId="49" fontId="25" fillId="0" borderId="0" xfId="0" applyNumberFormat="1" applyFont="1" applyAlignment="1"/>
    <xf numFmtId="49" fontId="40" fillId="3" borderId="40" xfId="0" applyNumberFormat="1" applyFont="1" applyFill="1" applyBorder="1" applyAlignment="1"/>
    <xf numFmtId="49" fontId="25" fillId="0" borderId="40" xfId="0" applyNumberFormat="1" applyFont="1" applyBorder="1" applyAlignment="1"/>
    <xf numFmtId="0" fontId="0" fillId="0" borderId="40" xfId="0" applyBorder="1" applyAlignment="1"/>
    <xf numFmtId="0" fontId="8" fillId="2" borderId="3" xfId="0" applyNumberFormat="1" applyFont="1" applyFill="1" applyBorder="1" applyAlignment="1">
      <alignment horizontal="left" wrapText="1"/>
    </xf>
    <xf numFmtId="0" fontId="0" fillId="0" borderId="7" xfId="0" applyNumberFormat="1" applyBorder="1" applyAlignment="1"/>
    <xf numFmtId="49" fontId="8" fillId="2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40" fillId="3" borderId="40" xfId="0" applyNumberFormat="1" applyFont="1" applyFill="1" applyBorder="1" applyAlignment="1"/>
    <xf numFmtId="0" fontId="25" fillId="0" borderId="40" xfId="0" applyNumberFormat="1" applyFont="1" applyBorder="1" applyAlignment="1"/>
    <xf numFmtId="0" fontId="0" fillId="0" borderId="40" xfId="0" applyNumberFormat="1" applyBorder="1" applyAlignment="1"/>
    <xf numFmtId="0" fontId="20" fillId="3" borderId="72" xfId="0" applyNumberFormat="1" applyFont="1" applyFill="1" applyBorder="1" applyAlignment="1"/>
    <xf numFmtId="0" fontId="25" fillId="0" borderId="72" xfId="0" applyNumberFormat="1" applyFont="1" applyBorder="1" applyAlignment="1"/>
    <xf numFmtId="0" fontId="0" fillId="0" borderId="72" xfId="0" applyNumberFormat="1" applyBorder="1" applyAlignment="1"/>
    <xf numFmtId="3" fontId="128" fillId="2" borderId="24" xfId="5" applyNumberFormat="1" applyFont="1" applyFill="1" applyBorder="1" applyAlignment="1" applyProtection="1">
      <alignment horizontal="center" wrapText="1"/>
      <protection locked="0"/>
    </xf>
    <xf numFmtId="0" fontId="129" fillId="2" borderId="57" xfId="0" applyNumberFormat="1" applyFont="1" applyFill="1" applyBorder="1" applyAlignment="1" applyProtection="1">
      <alignment horizontal="center" wrapText="1"/>
      <protection locked="0"/>
    </xf>
    <xf numFmtId="0" fontId="15" fillId="3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5" fillId="2" borderId="26" xfId="0" applyFont="1" applyFill="1" applyBorder="1" applyAlignment="1" applyProtection="1">
      <alignment horizontal="left"/>
    </xf>
    <xf numFmtId="0" fontId="5" fillId="2" borderId="23" xfId="0" applyFont="1" applyFill="1" applyBorder="1" applyAlignment="1" applyProtection="1">
      <alignment horizontal="left"/>
    </xf>
    <xf numFmtId="0" fontId="5" fillId="2" borderId="71" xfId="0" applyFont="1" applyFill="1" applyBorder="1" applyAlignment="1" applyProtection="1">
      <alignment horizontal="left"/>
    </xf>
    <xf numFmtId="0" fontId="8" fillId="2" borderId="3" xfId="0" applyFont="1" applyFill="1" applyBorder="1" applyAlignment="1">
      <alignment horizontal="left" wrapText="1"/>
    </xf>
    <xf numFmtId="0" fontId="0" fillId="0" borderId="7" xfId="0" applyBorder="1"/>
    <xf numFmtId="49" fontId="13" fillId="3" borderId="0" xfId="0" applyNumberFormat="1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 wrapText="1"/>
    </xf>
    <xf numFmtId="0" fontId="13" fillId="6" borderId="0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2" fillId="3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0" fillId="3" borderId="0" xfId="0" applyFont="1" applyFill="1" applyAlignment="1">
      <alignment horizontal="center"/>
    </xf>
    <xf numFmtId="0" fontId="20" fillId="3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27" fillId="6" borderId="34" xfId="0" applyFont="1" applyFill="1" applyBorder="1" applyAlignment="1">
      <alignment horizontal="center" vertical="center"/>
    </xf>
    <xf numFmtId="0" fontId="27" fillId="6" borderId="37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14" fontId="13" fillId="3" borderId="0" xfId="0" applyNumberFormat="1" applyFont="1" applyFill="1" applyBorder="1" applyAlignment="1" applyProtection="1">
      <alignment horizontal="right" wrapText="1"/>
    </xf>
    <xf numFmtId="0" fontId="0" fillId="6" borderId="0" xfId="0" applyFill="1" applyAlignment="1" applyProtection="1">
      <alignment wrapText="1"/>
    </xf>
    <xf numFmtId="0" fontId="6" fillId="2" borderId="22" xfId="0" applyNumberFormat="1" applyFont="1" applyFill="1" applyBorder="1" applyAlignment="1" applyProtection="1">
      <alignment horizontal="center"/>
      <protection locked="0"/>
    </xf>
    <xf numFmtId="0" fontId="12" fillId="0" borderId="22" xfId="0" applyNumberFormat="1" applyFont="1" applyBorder="1" applyAlignment="1" applyProtection="1">
      <alignment horizontal="center"/>
      <protection locked="0"/>
    </xf>
    <xf numFmtId="0" fontId="12" fillId="0" borderId="70" xfId="0" applyNumberFormat="1" applyFont="1" applyBorder="1" applyAlignment="1" applyProtection="1">
      <alignment horizontal="center"/>
      <protection locked="0"/>
    </xf>
    <xf numFmtId="0" fontId="2" fillId="0" borderId="70" xfId="0" applyNumberFormat="1" applyFont="1" applyBorder="1" applyAlignment="1" applyProtection="1">
      <alignment horizontal="center"/>
      <protection locked="0"/>
    </xf>
    <xf numFmtId="0" fontId="20" fillId="7" borderId="22" xfId="0" applyNumberFormat="1" applyFont="1" applyFill="1" applyBorder="1" applyAlignment="1" applyProtection="1">
      <alignment horizontal="center"/>
      <protection locked="0"/>
    </xf>
    <xf numFmtId="0" fontId="20" fillId="0" borderId="22" xfId="0" applyNumberFormat="1" applyFont="1" applyBorder="1" applyAlignment="1" applyProtection="1">
      <alignment horizontal="center"/>
      <protection locked="0"/>
    </xf>
    <xf numFmtId="0" fontId="20" fillId="0" borderId="6" xfId="0" applyNumberFormat="1" applyFont="1" applyBorder="1" applyAlignment="1" applyProtection="1">
      <alignment horizontal="center"/>
      <protection locked="0"/>
    </xf>
    <xf numFmtId="0" fontId="8" fillId="2" borderId="33" xfId="0" applyNumberFormat="1" applyFont="1" applyFill="1" applyBorder="1" applyAlignment="1">
      <alignment vertical="top" wrapText="1"/>
    </xf>
    <xf numFmtId="0" fontId="0" fillId="0" borderId="22" xfId="0" applyNumberFormat="1" applyBorder="1" applyAlignment="1">
      <alignment vertical="top" wrapText="1"/>
    </xf>
    <xf numFmtId="0" fontId="0" fillId="0" borderId="72" xfId="0" applyNumberFormat="1" applyBorder="1" applyAlignment="1" applyProtection="1">
      <protection locked="0"/>
    </xf>
    <xf numFmtId="0" fontId="0" fillId="0" borderId="73" xfId="0" applyNumberFormat="1" applyBorder="1" applyAlignment="1" applyProtection="1">
      <protection locked="0"/>
    </xf>
    <xf numFmtId="0" fontId="25" fillId="7" borderId="24" xfId="0" applyNumberFormat="1" applyFont="1" applyFill="1" applyBorder="1" applyAlignment="1" applyProtection="1">
      <alignment horizontal="center"/>
      <protection locked="0"/>
    </xf>
    <xf numFmtId="0" fontId="25" fillId="0" borderId="24" xfId="0" applyNumberFormat="1" applyFont="1" applyBorder="1" applyAlignment="1" applyProtection="1">
      <alignment horizontal="center"/>
      <protection locked="0"/>
    </xf>
    <xf numFmtId="0" fontId="25" fillId="0" borderId="44" xfId="0" applyNumberFormat="1" applyFont="1" applyBorder="1" applyAlignment="1" applyProtection="1">
      <alignment horizontal="center"/>
      <protection locked="0"/>
    </xf>
    <xf numFmtId="0" fontId="5" fillId="2" borderId="24" xfId="0" applyNumberFormat="1" applyFont="1" applyFill="1" applyBorder="1" applyAlignment="1" applyProtection="1">
      <alignment horizontal="center"/>
      <protection locked="0"/>
    </xf>
    <xf numFmtId="0" fontId="26" fillId="0" borderId="24" xfId="0" applyNumberFormat="1" applyFont="1" applyBorder="1" applyAlignment="1" applyProtection="1">
      <alignment horizontal="center"/>
      <protection locked="0"/>
    </xf>
    <xf numFmtId="0" fontId="0" fillId="0" borderId="22" xfId="0" applyNumberFormat="1" applyBorder="1" applyAlignment="1" applyProtection="1">
      <protection locked="0"/>
    </xf>
    <xf numFmtId="0" fontId="0" fillId="0" borderId="70" xfId="0" applyNumberFormat="1" applyBorder="1" applyAlignment="1" applyProtection="1">
      <protection locked="0"/>
    </xf>
    <xf numFmtId="0" fontId="6" fillId="3" borderId="40" xfId="0" applyNumberFormat="1" applyFont="1" applyFill="1" applyBorder="1" applyAlignment="1"/>
    <xf numFmtId="0" fontId="7" fillId="3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5" fillId="3" borderId="37" xfId="0" applyFont="1" applyFill="1" applyBorder="1" applyAlignment="1"/>
    <xf numFmtId="0" fontId="0" fillId="0" borderId="37" xfId="0" applyBorder="1" applyAlignment="1"/>
    <xf numFmtId="0" fontId="5" fillId="3" borderId="0" xfId="0" applyFont="1" applyFill="1" applyAlignment="1"/>
    <xf numFmtId="0" fontId="5" fillId="2" borderId="26" xfId="0" applyFont="1" applyFill="1" applyBorder="1" applyAlignment="1" applyProtection="1">
      <alignment horizontal="left"/>
      <protection locked="0"/>
    </xf>
    <xf numFmtId="0" fontId="5" fillId="2" borderId="23" xfId="0" applyFont="1" applyFill="1" applyBorder="1" applyAlignment="1" applyProtection="1">
      <alignment horizontal="left"/>
      <protection locked="0"/>
    </xf>
    <xf numFmtId="0" fontId="0" fillId="7" borderId="23" xfId="0" applyFill="1" applyBorder="1" applyAlignment="1" applyProtection="1">
      <alignment horizontal="left"/>
      <protection locked="0"/>
    </xf>
    <xf numFmtId="0" fontId="0" fillId="7" borderId="71" xfId="0" applyFill="1" applyBorder="1" applyAlignment="1" applyProtection="1">
      <alignment horizontal="left"/>
      <protection locked="0"/>
    </xf>
    <xf numFmtId="0" fontId="3" fillId="2" borderId="26" xfId="5" applyFont="1" applyFill="1" applyBorder="1" applyAlignment="1" applyProtection="1">
      <alignment horizontal="left"/>
    </xf>
    <xf numFmtId="0" fontId="26" fillId="7" borderId="23" xfId="0" applyFont="1" applyFill="1" applyBorder="1" applyAlignment="1" applyProtection="1">
      <alignment horizontal="left"/>
    </xf>
    <xf numFmtId="0" fontId="26" fillId="7" borderId="71" xfId="0" applyFont="1" applyFill="1" applyBorder="1" applyAlignment="1" applyProtection="1">
      <alignment horizontal="left"/>
    </xf>
    <xf numFmtId="0" fontId="8" fillId="3" borderId="0" xfId="0" applyFont="1" applyFill="1" applyAlignment="1"/>
    <xf numFmtId="0" fontId="12" fillId="3" borderId="34" xfId="0" applyFont="1" applyFill="1" applyBorder="1" applyAlignment="1">
      <alignment horizontal="center"/>
    </xf>
    <xf numFmtId="0" fontId="12" fillId="3" borderId="0" xfId="0" applyFont="1" applyFill="1" applyAlignment="1">
      <alignment horizontal="center"/>
    </xf>
    <xf numFmtId="0" fontId="8" fillId="3" borderId="23" xfId="0" applyFont="1" applyFill="1" applyBorder="1" applyAlignment="1"/>
    <xf numFmtId="0" fontId="0" fillId="0" borderId="23" xfId="0" applyBorder="1" applyAlignment="1"/>
    <xf numFmtId="0" fontId="8" fillId="3" borderId="23" xfId="0" applyFont="1" applyFill="1" applyBorder="1" applyAlignment="1">
      <alignment horizontal="left"/>
    </xf>
    <xf numFmtId="0" fontId="8" fillId="3" borderId="74" xfId="0" applyFont="1" applyFill="1" applyBorder="1" applyAlignment="1">
      <alignment horizontal="center"/>
    </xf>
    <xf numFmtId="0" fontId="0" fillId="0" borderId="25" xfId="0" applyBorder="1" applyAlignment="1"/>
    <xf numFmtId="0" fontId="0" fillId="0" borderId="75" xfId="0" applyBorder="1" applyAlignment="1"/>
    <xf numFmtId="0" fontId="0" fillId="0" borderId="34" xfId="0" applyBorder="1" applyAlignment="1"/>
    <xf numFmtId="0" fontId="0" fillId="0" borderId="47" xfId="0" applyBorder="1" applyAlignment="1"/>
    <xf numFmtId="0" fontId="0" fillId="0" borderId="42" xfId="0" applyBorder="1" applyAlignment="1"/>
    <xf numFmtId="0" fontId="0" fillId="0" borderId="76" xfId="0" applyBorder="1" applyAlignment="1"/>
    <xf numFmtId="49" fontId="13" fillId="3" borderId="0" xfId="0" applyNumberFormat="1" applyFont="1" applyFill="1" applyBorder="1" applyAlignment="1">
      <alignment horizontal="left" vertical="top"/>
    </xf>
    <xf numFmtId="49" fontId="15" fillId="3" borderId="0" xfId="0" applyNumberFormat="1" applyFont="1" applyFill="1" applyBorder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71" xfId="0" applyBorder="1" applyAlignment="1" applyProtection="1">
      <alignment vertical="center"/>
      <protection locked="0"/>
    </xf>
    <xf numFmtId="0" fontId="11" fillId="6" borderId="0" xfId="0" applyFon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0" fillId="6" borderId="37" xfId="0" applyFill="1" applyBorder="1" applyAlignment="1">
      <alignment horizontal="right" vertical="center"/>
    </xf>
    <xf numFmtId="0" fontId="6" fillId="3" borderId="0" xfId="0" applyFont="1" applyFill="1" applyBorder="1" applyAlignment="1" applyProtection="1">
      <alignment horizontal="center"/>
    </xf>
    <xf numFmtId="0" fontId="0" fillId="6" borderId="0" xfId="0" applyFill="1" applyBorder="1" applyAlignment="1" applyProtection="1">
      <alignment horizontal="center"/>
    </xf>
    <xf numFmtId="0" fontId="0" fillId="0" borderId="0" xfId="0" applyAlignment="1" applyProtection="1"/>
    <xf numFmtId="0" fontId="8" fillId="3" borderId="23" xfId="0" applyFont="1" applyFill="1" applyBorder="1" applyAlignment="1" applyProtection="1">
      <alignment vertical="center" wrapText="1"/>
    </xf>
    <xf numFmtId="0" fontId="0" fillId="0" borderId="23" xfId="0" applyBorder="1" applyAlignment="1">
      <alignment wrapText="1"/>
    </xf>
    <xf numFmtId="0" fontId="0" fillId="0" borderId="71" xfId="0" applyBorder="1" applyAlignment="1">
      <alignment wrapText="1"/>
    </xf>
    <xf numFmtId="0" fontId="0" fillId="0" borderId="23" xfId="0" applyBorder="1" applyAlignment="1">
      <alignment vertical="center" wrapText="1"/>
    </xf>
    <xf numFmtId="0" fontId="0" fillId="0" borderId="71" xfId="0" applyBorder="1" applyAlignment="1">
      <alignment vertical="center" wrapText="1"/>
    </xf>
    <xf numFmtId="0" fontId="57" fillId="3" borderId="0" xfId="0" applyFont="1" applyFill="1" applyBorder="1" applyAlignment="1" applyProtection="1">
      <alignment horizontal="left"/>
    </xf>
    <xf numFmtId="0" fontId="42" fillId="6" borderId="0" xfId="0" applyFont="1" applyFill="1" applyBorder="1" applyAlignment="1" applyProtection="1">
      <alignment horizontal="left"/>
    </xf>
    <xf numFmtId="0" fontId="42" fillId="0" borderId="0" xfId="0" applyFont="1" applyAlignment="1" applyProtection="1">
      <alignment horizontal="left"/>
    </xf>
    <xf numFmtId="3" fontId="5" fillId="2" borderId="26" xfId="0" applyNumberFormat="1" applyFont="1" applyFill="1" applyBorder="1" applyAlignment="1" applyProtection="1">
      <alignment horizontal="center" vertical="center"/>
    </xf>
    <xf numFmtId="3" fontId="5" fillId="2" borderId="23" xfId="0" applyNumberFormat="1" applyFont="1" applyFill="1" applyBorder="1" applyAlignment="1" applyProtection="1">
      <alignment horizontal="center" vertical="center"/>
    </xf>
    <xf numFmtId="3" fontId="0" fillId="0" borderId="71" xfId="0" applyNumberFormat="1" applyBorder="1" applyAlignment="1">
      <alignment horizontal="center" vertical="center"/>
    </xf>
    <xf numFmtId="3" fontId="5" fillId="2" borderId="26" xfId="0" applyNumberFormat="1" applyFont="1" applyFill="1" applyBorder="1" applyAlignment="1" applyProtection="1">
      <alignment horizontal="center" vertical="center"/>
      <protection locked="0"/>
    </xf>
    <xf numFmtId="3" fontId="5" fillId="2" borderId="23" xfId="0" applyNumberFormat="1" applyFont="1" applyFill="1" applyBorder="1" applyAlignment="1" applyProtection="1">
      <alignment horizontal="center" vertical="center"/>
      <protection locked="0"/>
    </xf>
    <xf numFmtId="3" fontId="0" fillId="0" borderId="71" xfId="0" applyNumberFormat="1" applyBorder="1" applyAlignment="1" applyProtection="1">
      <alignment horizontal="center" vertical="center"/>
      <protection locked="0"/>
    </xf>
    <xf numFmtId="0" fontId="5" fillId="3" borderId="26" xfId="0" applyFont="1" applyFill="1" applyBorder="1" applyAlignment="1" applyProtection="1">
      <alignment horizontal="center" vertical="center"/>
    </xf>
    <xf numFmtId="0" fontId="0" fillId="6" borderId="23" xfId="0" applyFill="1" applyBorder="1" applyAlignment="1"/>
    <xf numFmtId="0" fontId="0" fillId="6" borderId="43" xfId="0" applyFill="1" applyBorder="1" applyAlignment="1"/>
    <xf numFmtId="0" fontId="8" fillId="3" borderId="22" xfId="0" applyFont="1" applyFill="1" applyBorder="1" applyAlignment="1" applyProtection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8" fillId="3" borderId="4" xfId="0" applyFont="1" applyFill="1" applyBorder="1" applyAlignment="1" applyProtection="1">
      <alignment horizontal="center"/>
    </xf>
    <xf numFmtId="0" fontId="8" fillId="3" borderId="22" xfId="0" applyFont="1" applyFill="1" applyBorder="1" applyAlignment="1" applyProtection="1">
      <alignment horizontal="center"/>
    </xf>
    <xf numFmtId="0" fontId="8" fillId="3" borderId="70" xfId="0" applyFont="1" applyFill="1" applyBorder="1" applyAlignment="1" applyProtection="1">
      <alignment horizontal="center"/>
    </xf>
    <xf numFmtId="0" fontId="8" fillId="3" borderId="27" xfId="0" applyFont="1" applyFill="1" applyBorder="1" applyAlignment="1" applyProtection="1">
      <alignment horizontal="center"/>
    </xf>
    <xf numFmtId="0" fontId="8" fillId="3" borderId="36" xfId="0" applyFont="1" applyFill="1" applyBorder="1" applyAlignment="1" applyProtection="1">
      <alignment horizontal="center"/>
    </xf>
    <xf numFmtId="0" fontId="8" fillId="3" borderId="107" xfId="0" applyFont="1" applyFill="1" applyBorder="1" applyAlignment="1">
      <alignment vertical="center" wrapText="1"/>
    </xf>
    <xf numFmtId="0" fontId="0" fillId="0" borderId="107" xfId="0" applyBorder="1" applyAlignment="1">
      <alignment vertical="center" wrapText="1"/>
    </xf>
    <xf numFmtId="0" fontId="0" fillId="0" borderId="108" xfId="0" applyBorder="1" applyAlignment="1">
      <alignment vertical="center" wrapText="1"/>
    </xf>
    <xf numFmtId="3" fontId="5" fillId="2" borderId="7" xfId="0" applyNumberFormat="1" applyFont="1" applyFill="1" applyBorder="1" applyAlignment="1" applyProtection="1">
      <alignment horizontal="center" vertical="center"/>
      <protection locked="0"/>
    </xf>
    <xf numFmtId="3" fontId="5" fillId="2" borderId="24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0" fontId="5" fillId="3" borderId="7" xfId="0" applyFont="1" applyFill="1" applyBorder="1" applyAlignment="1" applyProtection="1">
      <alignment horizontal="center" vertical="center"/>
    </xf>
    <xf numFmtId="0" fontId="0" fillId="6" borderId="24" xfId="0" applyFill="1" applyBorder="1" applyAlignment="1"/>
    <xf numFmtId="0" fontId="0" fillId="6" borderId="44" xfId="0" applyFill="1" applyBorder="1" applyAlignment="1"/>
    <xf numFmtId="3" fontId="5" fillId="2" borderId="151" xfId="0" applyNumberFormat="1" applyFont="1" applyFill="1" applyBorder="1" applyAlignment="1">
      <alignment horizontal="center" vertical="center"/>
    </xf>
    <xf numFmtId="3" fontId="5" fillId="2" borderId="107" xfId="0" applyNumberFormat="1" applyFont="1" applyFill="1" applyBorder="1" applyAlignment="1">
      <alignment horizontal="center" vertical="center"/>
    </xf>
    <xf numFmtId="3" fontId="0" fillId="0" borderId="108" xfId="0" applyNumberFormat="1" applyBorder="1" applyAlignment="1">
      <alignment horizontal="center" vertical="center"/>
    </xf>
    <xf numFmtId="0" fontId="20" fillId="3" borderId="0" xfId="0" applyFont="1" applyFill="1" applyBorder="1" applyAlignment="1">
      <alignment horizontal="center"/>
    </xf>
    <xf numFmtId="0" fontId="8" fillId="3" borderId="24" xfId="0" applyFont="1" applyFill="1" applyBorder="1" applyAlignment="1" applyProtection="1">
      <alignment vertical="center" wrapText="1"/>
    </xf>
    <xf numFmtId="0" fontId="0" fillId="0" borderId="24" xfId="0" applyBorder="1" applyAlignment="1">
      <alignment wrapText="1"/>
    </xf>
    <xf numFmtId="0" fontId="0" fillId="0" borderId="57" xfId="0" applyBorder="1" applyAlignment="1">
      <alignment wrapText="1"/>
    </xf>
    <xf numFmtId="0" fontId="13" fillId="3" borderId="33" xfId="0" applyFont="1" applyFill="1" applyBorder="1" applyAlignment="1" applyProtection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3" fontId="5" fillId="2" borderId="33" xfId="0" applyNumberFormat="1" applyFont="1" applyFill="1" applyBorder="1" applyAlignment="1" applyProtection="1">
      <alignment horizontal="center" vertical="center"/>
    </xf>
    <xf numFmtId="3" fontId="5" fillId="2" borderId="22" xfId="0" applyNumberFormat="1" applyFont="1" applyFill="1" applyBorder="1" applyAlignment="1" applyProtection="1">
      <alignment horizontal="center" vertical="center"/>
    </xf>
    <xf numFmtId="3" fontId="0" fillId="0" borderId="70" xfId="0" applyNumberFormat="1" applyBorder="1" applyAlignment="1">
      <alignment horizontal="center" vertical="center"/>
    </xf>
    <xf numFmtId="0" fontId="8" fillId="3" borderId="24" xfId="0" applyFont="1" applyFill="1" applyBorder="1" applyAlignment="1">
      <alignment vertical="center" wrapText="1"/>
    </xf>
    <xf numFmtId="0" fontId="5" fillId="3" borderId="33" xfId="0" applyFont="1" applyFill="1" applyBorder="1" applyAlignment="1" applyProtection="1">
      <alignment horizontal="center" vertical="center"/>
    </xf>
    <xf numFmtId="0" fontId="0" fillId="6" borderId="22" xfId="0" applyFill="1" applyBorder="1" applyAlignment="1"/>
    <xf numFmtId="0" fontId="0" fillId="6" borderId="6" xfId="0" applyFill="1" applyBorder="1" applyAlignment="1"/>
    <xf numFmtId="0" fontId="0" fillId="0" borderId="107" xfId="0" applyBorder="1" applyAlignment="1">
      <alignment wrapText="1"/>
    </xf>
    <xf numFmtId="0" fontId="0" fillId="0" borderId="108" xfId="0" applyBorder="1" applyAlignment="1">
      <alignment wrapText="1"/>
    </xf>
    <xf numFmtId="0" fontId="25" fillId="3" borderId="26" xfId="0" applyFont="1" applyFill="1" applyBorder="1" applyAlignment="1" applyProtection="1">
      <alignment vertical="center"/>
    </xf>
    <xf numFmtId="0" fontId="25" fillId="3" borderId="43" xfId="0" applyFont="1" applyFill="1" applyBorder="1" applyAlignment="1" applyProtection="1">
      <alignment vertical="center"/>
    </xf>
    <xf numFmtId="0" fontId="25" fillId="3" borderId="33" xfId="0" applyFont="1" applyFill="1" applyBorder="1" applyAlignment="1" applyProtection="1">
      <alignment vertical="center"/>
    </xf>
    <xf numFmtId="0" fontId="0" fillId="0" borderId="22" xfId="0" applyBorder="1" applyAlignment="1"/>
    <xf numFmtId="0" fontId="0" fillId="0" borderId="6" xfId="0" applyBorder="1" applyAlignment="1"/>
    <xf numFmtId="3" fontId="5" fillId="2" borderId="7" xfId="0" applyNumberFormat="1" applyFont="1" applyFill="1" applyBorder="1" applyAlignment="1" applyProtection="1">
      <alignment horizontal="center" vertical="center"/>
    </xf>
    <xf numFmtId="3" fontId="5" fillId="2" borderId="24" xfId="0" applyNumberFormat="1" applyFont="1" applyFill="1" applyBorder="1" applyAlignment="1" applyProtection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0" fontId="25" fillId="3" borderId="7" xfId="0" applyFont="1" applyFill="1" applyBorder="1" applyAlignment="1" applyProtection="1">
      <alignment vertical="center"/>
    </xf>
    <xf numFmtId="0" fontId="0" fillId="0" borderId="24" xfId="0" applyBorder="1" applyAlignment="1"/>
    <xf numFmtId="0" fontId="0" fillId="0" borderId="44" xfId="0" applyBorder="1" applyAlignment="1"/>
    <xf numFmtId="0" fontId="20" fillId="3" borderId="72" xfId="0" applyFont="1" applyFill="1" applyBorder="1" applyAlignment="1" applyProtection="1">
      <alignment horizontal="center"/>
    </xf>
    <xf numFmtId="0" fontId="25" fillId="6" borderId="72" xfId="0" applyFont="1" applyFill="1" applyBorder="1" applyAlignment="1" applyProtection="1">
      <alignment horizontal="center"/>
    </xf>
    <xf numFmtId="0" fontId="25" fillId="0" borderId="72" xfId="0" applyFont="1" applyBorder="1" applyAlignment="1" applyProtection="1">
      <alignment horizontal="center"/>
    </xf>
    <xf numFmtId="0" fontId="0" fillId="0" borderId="72" xfId="0" applyBorder="1" applyAlignment="1" applyProtection="1"/>
    <xf numFmtId="0" fontId="13" fillId="3" borderId="22" xfId="0" applyFont="1" applyFill="1" applyBorder="1" applyAlignment="1" applyProtection="1">
      <alignment vertical="center" wrapText="1"/>
    </xf>
    <xf numFmtId="0" fontId="13" fillId="3" borderId="70" xfId="0" applyFont="1" applyFill="1" applyBorder="1" applyAlignment="1" applyProtection="1">
      <alignment vertical="center" wrapText="1"/>
    </xf>
    <xf numFmtId="4" fontId="25" fillId="2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70" xfId="0" applyNumberFormat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13" fillId="3" borderId="107" xfId="0" applyFont="1" applyFill="1" applyBorder="1" applyAlignment="1">
      <alignment vertical="center"/>
    </xf>
    <xf numFmtId="0" fontId="13" fillId="3" borderId="23" xfId="0" applyFont="1" applyFill="1" applyBorder="1" applyAlignment="1" applyProtection="1">
      <alignment vertical="center"/>
    </xf>
    <xf numFmtId="0" fontId="8" fillId="3" borderId="107" xfId="0" applyFont="1" applyFill="1" applyBorder="1" applyAlignment="1">
      <alignment vertical="center"/>
    </xf>
    <xf numFmtId="0" fontId="0" fillId="0" borderId="107" xfId="0" applyBorder="1"/>
    <xf numFmtId="0" fontId="0" fillId="0" borderId="108" xfId="0" applyBorder="1"/>
    <xf numFmtId="3" fontId="25" fillId="2" borderId="33" xfId="0" applyNumberFormat="1" applyFont="1" applyFill="1" applyBorder="1" applyAlignment="1" applyProtection="1">
      <alignment horizontal="center" vertical="center"/>
    </xf>
    <xf numFmtId="3" fontId="25" fillId="2" borderId="26" xfId="0" applyNumberFormat="1" applyFont="1" applyFill="1" applyBorder="1" applyAlignment="1" applyProtection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1" xfId="0" applyBorder="1" applyAlignment="1">
      <alignment vertical="center"/>
    </xf>
    <xf numFmtId="0" fontId="0" fillId="0" borderId="43" xfId="0" applyBorder="1" applyAlignment="1"/>
    <xf numFmtId="3" fontId="25" fillId="2" borderId="26" xfId="0" applyNumberFormat="1" applyFont="1" applyFill="1" applyBorder="1" applyAlignment="1" applyProtection="1">
      <alignment horizontal="center" vertical="center"/>
      <protection locked="0"/>
    </xf>
    <xf numFmtId="4" fontId="25" fillId="2" borderId="26" xfId="0" applyNumberFormat="1" applyFont="1" applyFill="1" applyBorder="1" applyAlignment="1" applyProtection="1">
      <alignment horizontal="center" vertical="center"/>
      <protection locked="0"/>
    </xf>
    <xf numFmtId="4" fontId="0" fillId="0" borderId="71" xfId="0" applyNumberFormat="1" applyBorder="1" applyAlignment="1" applyProtection="1">
      <alignment horizontal="center" vertical="center"/>
      <protection locked="0"/>
    </xf>
    <xf numFmtId="0" fontId="20" fillId="6" borderId="72" xfId="0" applyFont="1" applyFill="1" applyBorder="1" applyAlignment="1">
      <alignment horizontal="center"/>
    </xf>
    <xf numFmtId="0" fontId="13" fillId="3" borderId="4" xfId="0" applyFont="1" applyFill="1" applyBorder="1" applyAlignment="1" applyProtection="1">
      <alignment vertical="center"/>
    </xf>
    <xf numFmtId="0" fontId="0" fillId="0" borderId="22" xfId="0" applyBorder="1" applyAlignment="1">
      <alignment vertical="center"/>
    </xf>
    <xf numFmtId="0" fontId="0" fillId="0" borderId="70" xfId="0" applyBorder="1" applyAlignment="1">
      <alignment vertical="center"/>
    </xf>
    <xf numFmtId="0" fontId="13" fillId="3" borderId="71" xfId="0" applyFont="1" applyFill="1" applyBorder="1" applyAlignment="1" applyProtection="1">
      <alignment vertical="center"/>
    </xf>
    <xf numFmtId="3" fontId="25" fillId="2" borderId="7" xfId="0" applyNumberFormat="1" applyFont="1" applyFill="1" applyBorder="1" applyAlignment="1" applyProtection="1">
      <alignment horizontal="center" vertical="center"/>
      <protection locked="0"/>
    </xf>
    <xf numFmtId="0" fontId="13" fillId="3" borderId="107" xfId="0" applyFont="1" applyFill="1" applyBorder="1" applyAlignment="1">
      <alignment vertical="center" wrapText="1"/>
    </xf>
    <xf numFmtId="0" fontId="13" fillId="3" borderId="108" xfId="0" applyFont="1" applyFill="1" applyBorder="1" applyAlignment="1">
      <alignment vertical="center" wrapText="1"/>
    </xf>
    <xf numFmtId="0" fontId="13" fillId="3" borderId="24" xfId="0" applyFont="1" applyFill="1" applyBorder="1" applyAlignment="1" applyProtection="1">
      <alignment vertical="center"/>
    </xf>
    <xf numFmtId="0" fontId="13" fillId="3" borderId="57" xfId="0" applyFont="1" applyFill="1" applyBorder="1" applyAlignment="1" applyProtection="1">
      <alignment vertical="center"/>
    </xf>
    <xf numFmtId="3" fontId="25" fillId="2" borderId="7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vertical="center"/>
    </xf>
    <xf numFmtId="0" fontId="13" fillId="3" borderId="23" xfId="0" applyFont="1" applyFill="1" applyBorder="1" applyAlignment="1" applyProtection="1">
      <alignment vertical="center" wrapText="1"/>
    </xf>
    <xf numFmtId="0" fontId="13" fillId="3" borderId="71" xfId="0" applyFont="1" applyFill="1" applyBorder="1" applyAlignment="1" applyProtection="1">
      <alignment vertical="center" wrapText="1"/>
    </xf>
    <xf numFmtId="3" fontId="25" fillId="2" borderId="151" xfId="0" applyNumberFormat="1" applyFont="1" applyFill="1" applyBorder="1" applyAlignment="1" applyProtection="1">
      <alignment horizontal="center" vertical="center"/>
      <protection locked="0"/>
    </xf>
    <xf numFmtId="0" fontId="0" fillId="0" borderId="108" xfId="0" applyBorder="1" applyAlignment="1">
      <alignment horizontal="center" vertical="center"/>
    </xf>
    <xf numFmtId="0" fontId="14" fillId="3" borderId="20" xfId="0" applyFont="1" applyFill="1" applyBorder="1"/>
    <xf numFmtId="0" fontId="0" fillId="0" borderId="20" xfId="0" applyBorder="1"/>
    <xf numFmtId="0" fontId="8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3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8" xfId="0" applyBorder="1" applyAlignment="1" applyProtection="1">
      <alignment vertical="center"/>
      <protection locked="0"/>
    </xf>
    <xf numFmtId="0" fontId="8" fillId="3" borderId="39" xfId="0" applyFont="1" applyFill="1" applyBorder="1" applyAlignment="1">
      <alignment horizontal="center" vertical="center"/>
    </xf>
    <xf numFmtId="0" fontId="8" fillId="3" borderId="58" xfId="0" applyFont="1" applyFill="1" applyBorder="1" applyAlignment="1">
      <alignment horizontal="center" vertical="center"/>
    </xf>
    <xf numFmtId="0" fontId="13" fillId="3" borderId="72" xfId="0" applyFont="1" applyFill="1" applyBorder="1" applyAlignment="1" applyProtection="1">
      <alignment horizontal="center" vertical="center"/>
    </xf>
    <xf numFmtId="0" fontId="0" fillId="0" borderId="72" xfId="0" applyBorder="1" applyAlignment="1">
      <alignment vertical="center"/>
    </xf>
    <xf numFmtId="49" fontId="5" fillId="2" borderId="39" xfId="0" applyNumberFormat="1" applyFont="1" applyFill="1" applyBorder="1" applyAlignment="1" applyProtection="1">
      <alignment horizontal="center" vertical="center"/>
      <protection locked="0"/>
    </xf>
    <xf numFmtId="0" fontId="0" fillId="0" borderId="2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3" borderId="72" xfId="0" applyFont="1" applyFill="1" applyBorder="1" applyAlignment="1" applyProtection="1">
      <alignment horizontal="center"/>
    </xf>
    <xf numFmtId="0" fontId="0" fillId="0" borderId="72" xfId="0" applyBorder="1" applyAlignment="1" applyProtection="1">
      <alignment horizontal="center"/>
    </xf>
    <xf numFmtId="3" fontId="25" fillId="2" borderId="33" xfId="0" applyNumberFormat="1" applyFont="1" applyFill="1" applyBorder="1" applyAlignment="1" applyProtection="1">
      <alignment horizontal="center" vertical="center"/>
      <protection locked="0"/>
    </xf>
    <xf numFmtId="3" fontId="25" fillId="2" borderId="7" xfId="0" applyNumberFormat="1" applyFont="1" applyFill="1" applyBorder="1" applyAlignment="1" applyProtection="1">
      <alignment horizontal="center" vertical="center"/>
    </xf>
    <xf numFmtId="0" fontId="0" fillId="0" borderId="57" xfId="0" applyBorder="1" applyAlignment="1">
      <alignment horizontal="center" vertical="center"/>
    </xf>
    <xf numFmtId="0" fontId="25" fillId="3" borderId="7" xfId="0" applyFont="1" applyFill="1" applyBorder="1" applyAlignment="1">
      <alignment vertical="center"/>
    </xf>
    <xf numFmtId="0" fontId="0" fillId="0" borderId="24" xfId="0" applyBorder="1"/>
    <xf numFmtId="0" fontId="0" fillId="0" borderId="44" xfId="0" applyBorder="1"/>
    <xf numFmtId="0" fontId="13" fillId="23" borderId="24" xfId="0" applyFont="1" applyFill="1" applyBorder="1" applyAlignment="1">
      <alignment vertical="center" wrapText="1"/>
    </xf>
    <xf numFmtId="0" fontId="13" fillId="23" borderId="57" xfId="0" applyFont="1" applyFill="1" applyBorder="1" applyAlignment="1">
      <alignment vertical="center" wrapText="1"/>
    </xf>
    <xf numFmtId="0" fontId="52" fillId="7" borderId="0" xfId="5" applyFill="1" applyAlignment="1" applyProtection="1"/>
    <xf numFmtId="0" fontId="0" fillId="0" borderId="0" xfId="0"/>
    <xf numFmtId="0" fontId="13" fillId="3" borderId="22" xfId="0" applyFont="1" applyFill="1" applyBorder="1" applyAlignment="1">
      <alignment vertical="center" wrapText="1"/>
    </xf>
    <xf numFmtId="0" fontId="13" fillId="3" borderId="70" xfId="0" applyFont="1" applyFill="1" applyBorder="1" applyAlignment="1">
      <alignment vertical="center" wrapText="1"/>
    </xf>
    <xf numFmtId="3" fontId="25" fillId="2" borderId="23" xfId="0" applyNumberFormat="1" applyFont="1" applyFill="1" applyBorder="1" applyAlignment="1" applyProtection="1">
      <alignment horizontal="center" vertical="center"/>
    </xf>
    <xf numFmtId="3" fontId="25" fillId="2" borderId="71" xfId="0" applyNumberFormat="1" applyFont="1" applyFill="1" applyBorder="1" applyAlignment="1" applyProtection="1">
      <alignment horizontal="center" vertical="center"/>
    </xf>
    <xf numFmtId="0" fontId="8" fillId="3" borderId="22" xfId="0" applyFont="1" applyFill="1" applyBorder="1" applyAlignment="1" applyProtection="1">
      <alignment vertical="center" wrapText="1" shrinkToFit="1"/>
    </xf>
    <xf numFmtId="0" fontId="8" fillId="3" borderId="70" xfId="0" applyFont="1" applyFill="1" applyBorder="1" applyAlignment="1" applyProtection="1">
      <alignment vertical="center" wrapText="1" shrinkToFit="1"/>
    </xf>
    <xf numFmtId="0" fontId="8" fillId="3" borderId="3" xfId="0" applyFont="1" applyFill="1" applyBorder="1" applyAlignment="1" applyProtection="1">
      <alignment horizontal="center"/>
    </xf>
    <xf numFmtId="0" fontId="8" fillId="3" borderId="7" xfId="0" applyFont="1" applyFill="1" applyBorder="1" applyAlignment="1" applyProtection="1">
      <alignment horizontal="center"/>
    </xf>
    <xf numFmtId="0" fontId="0" fillId="0" borderId="9" xfId="0" applyBorder="1" applyAlignment="1" applyProtection="1"/>
    <xf numFmtId="0" fontId="8" fillId="3" borderId="2" xfId="0" applyFont="1" applyFill="1" applyBorder="1" applyAlignment="1" applyProtection="1">
      <alignment horizontal="center"/>
    </xf>
    <xf numFmtId="0" fontId="8" fillId="3" borderId="26" xfId="0" applyFont="1" applyFill="1" applyBorder="1" applyAlignment="1" applyProtection="1">
      <alignment horizontal="center"/>
    </xf>
    <xf numFmtId="0" fontId="0" fillId="0" borderId="1" xfId="0" applyBorder="1" applyAlignment="1" applyProtection="1"/>
    <xf numFmtId="3" fontId="5" fillId="2" borderId="71" xfId="0" applyNumberFormat="1" applyFont="1" applyFill="1" applyBorder="1" applyAlignment="1" applyProtection="1">
      <alignment horizontal="center" vertical="center"/>
      <protection locked="0"/>
    </xf>
    <xf numFmtId="0" fontId="8" fillId="3" borderId="23" xfId="0" applyFont="1" applyFill="1" applyBorder="1" applyAlignment="1" applyProtection="1">
      <alignment vertical="center" wrapText="1" shrinkToFit="1"/>
    </xf>
    <xf numFmtId="0" fontId="8" fillId="3" borderId="71" xfId="0" applyFont="1" applyFill="1" applyBorder="1" applyAlignment="1" applyProtection="1">
      <alignment vertical="center" wrapText="1" shrinkToFit="1"/>
    </xf>
    <xf numFmtId="0" fontId="8" fillId="3" borderId="24" xfId="0" applyFont="1" applyFill="1" applyBorder="1" applyAlignment="1" applyProtection="1">
      <alignment vertical="center" wrapText="1" shrinkToFit="1"/>
    </xf>
    <xf numFmtId="0" fontId="8" fillId="3" borderId="57" xfId="0" applyFont="1" applyFill="1" applyBorder="1" applyAlignment="1" applyProtection="1">
      <alignment vertical="center" wrapText="1" shrinkToFit="1"/>
    </xf>
    <xf numFmtId="3" fontId="5" fillId="2" borderId="71" xfId="0" applyNumberFormat="1" applyFont="1" applyFill="1" applyBorder="1" applyAlignment="1" applyProtection="1">
      <alignment horizontal="center" vertical="center"/>
    </xf>
    <xf numFmtId="3" fontId="5" fillId="2" borderId="57" xfId="0" applyNumberFormat="1" applyFont="1" applyFill="1" applyBorder="1" applyAlignment="1" applyProtection="1">
      <alignment horizontal="center" vertical="center"/>
    </xf>
    <xf numFmtId="3" fontId="5" fillId="2" borderId="33" xfId="0" applyNumberFormat="1" applyFont="1" applyFill="1" applyBorder="1" applyAlignment="1" applyProtection="1">
      <alignment horizontal="center" vertical="center"/>
      <protection locked="0"/>
    </xf>
    <xf numFmtId="3" fontId="5" fillId="2" borderId="22" xfId="0" applyNumberFormat="1" applyFont="1" applyFill="1" applyBorder="1" applyAlignment="1" applyProtection="1">
      <alignment horizontal="center" vertical="center"/>
      <protection locked="0"/>
    </xf>
    <xf numFmtId="3" fontId="5" fillId="2" borderId="70" xfId="0" applyNumberFormat="1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 applyProtection="1">
      <alignment horizontal="center"/>
    </xf>
    <xf numFmtId="0" fontId="0" fillId="0" borderId="20" xfId="0" applyBorder="1" applyAlignment="1">
      <alignment horizontal="center"/>
    </xf>
    <xf numFmtId="0" fontId="8" fillId="3" borderId="107" xfId="0" applyFont="1" applyFill="1" applyBorder="1" applyAlignment="1">
      <alignment vertical="center" wrapText="1" shrinkToFit="1"/>
    </xf>
    <xf numFmtId="0" fontId="8" fillId="3" borderId="108" xfId="0" applyFont="1" applyFill="1" applyBorder="1" applyAlignment="1">
      <alignment vertical="center" wrapText="1" shrinkToFit="1"/>
    </xf>
    <xf numFmtId="0" fontId="8" fillId="3" borderId="63" xfId="0" applyFont="1" applyFill="1" applyBorder="1" applyAlignment="1">
      <alignment horizontal="center" vertical="center"/>
    </xf>
    <xf numFmtId="0" fontId="8" fillId="3" borderId="9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5" fillId="3" borderId="23" xfId="0" applyFont="1" applyFill="1" applyBorder="1" applyAlignment="1" applyProtection="1">
      <alignment vertical="center"/>
    </xf>
    <xf numFmtId="0" fontId="0" fillId="6" borderId="43" xfId="0" applyFill="1" applyBorder="1" applyAlignment="1" applyProtection="1">
      <alignment vertical="center"/>
    </xf>
    <xf numFmtId="0" fontId="24" fillId="6" borderId="151" xfId="0" applyFont="1" applyFill="1" applyBorder="1" applyAlignment="1">
      <alignment horizontal="center" vertical="center"/>
    </xf>
    <xf numFmtId="0" fontId="0" fillId="0" borderId="170" xfId="0" applyBorder="1" applyAlignment="1">
      <alignment horizontal="center" vertical="center"/>
    </xf>
    <xf numFmtId="0" fontId="13" fillId="3" borderId="24" xfId="0" applyFont="1" applyFill="1" applyBorder="1" applyAlignment="1" applyProtection="1">
      <alignment vertical="center" wrapText="1"/>
    </xf>
    <xf numFmtId="0" fontId="13" fillId="3" borderId="57" xfId="0" applyFont="1" applyFill="1" applyBorder="1" applyAlignment="1" applyProtection="1">
      <alignment vertical="center" wrapText="1"/>
    </xf>
    <xf numFmtId="0" fontId="8" fillId="3" borderId="108" xfId="0" applyFont="1" applyFill="1" applyBorder="1" applyAlignment="1">
      <alignment vertical="center"/>
    </xf>
    <xf numFmtId="0" fontId="8" fillId="3" borderId="23" xfId="0" applyFont="1" applyFill="1" applyBorder="1" applyAlignment="1" applyProtection="1">
      <alignment vertical="center"/>
    </xf>
    <xf numFmtId="0" fontId="8" fillId="3" borderId="71" xfId="0" applyFont="1" applyFill="1" applyBorder="1" applyAlignment="1" applyProtection="1">
      <alignment vertical="center"/>
    </xf>
    <xf numFmtId="0" fontId="8" fillId="3" borderId="71" xfId="0" applyFont="1" applyFill="1" applyBorder="1" applyAlignment="1" applyProtection="1">
      <alignment vertical="center" wrapText="1"/>
    </xf>
    <xf numFmtId="0" fontId="8" fillId="3" borderId="24" xfId="0" applyFont="1" applyFill="1" applyBorder="1" applyAlignment="1">
      <alignment vertical="center" wrapText="1" shrinkToFit="1"/>
    </xf>
    <xf numFmtId="0" fontId="8" fillId="3" borderId="57" xfId="0" applyFont="1" applyFill="1" applyBorder="1" applyAlignment="1">
      <alignment vertical="center" wrapText="1" shrinkToFit="1"/>
    </xf>
    <xf numFmtId="3" fontId="5" fillId="2" borderId="7" xfId="0" applyNumberFormat="1" applyFont="1" applyFill="1" applyBorder="1" applyAlignment="1">
      <alignment horizontal="center" vertical="center"/>
    </xf>
    <xf numFmtId="3" fontId="5" fillId="2" borderId="24" xfId="0" applyNumberFormat="1" applyFont="1" applyFill="1" applyBorder="1" applyAlignment="1">
      <alignment horizontal="center" vertical="center"/>
    </xf>
    <xf numFmtId="3" fontId="5" fillId="2" borderId="57" xfId="0" applyNumberFormat="1" applyFont="1" applyFill="1" applyBorder="1" applyAlignment="1">
      <alignment horizontal="center" vertical="center"/>
    </xf>
    <xf numFmtId="0" fontId="13" fillId="3" borderId="22" xfId="0" applyFont="1" applyFill="1" applyBorder="1" applyAlignment="1" applyProtection="1">
      <alignment horizontal="center" vertical="center"/>
    </xf>
    <xf numFmtId="3" fontId="25" fillId="2" borderId="106" xfId="0" applyNumberFormat="1" applyFont="1" applyFill="1" applyBorder="1" applyAlignment="1" applyProtection="1">
      <alignment horizontal="center" vertical="center"/>
      <protection locked="0"/>
    </xf>
    <xf numFmtId="3" fontId="25" fillId="2" borderId="167" xfId="0" applyNumberFormat="1" applyFont="1" applyFill="1" applyBorder="1" applyAlignment="1" applyProtection="1">
      <alignment horizontal="center" vertical="center"/>
      <protection locked="0"/>
    </xf>
    <xf numFmtId="3" fontId="25" fillId="2" borderId="108" xfId="0" applyNumberFormat="1" applyFont="1" applyFill="1" applyBorder="1" applyAlignment="1" applyProtection="1">
      <alignment horizontal="center" vertical="center"/>
      <protection locked="0"/>
    </xf>
    <xf numFmtId="3" fontId="25" fillId="2" borderId="23" xfId="0" applyNumberFormat="1" applyFont="1" applyFill="1" applyBorder="1" applyAlignment="1" applyProtection="1">
      <alignment horizontal="center" vertical="center"/>
      <protection locked="0"/>
    </xf>
    <xf numFmtId="3" fontId="25" fillId="2" borderId="71" xfId="0" applyNumberFormat="1" applyFont="1" applyFill="1" applyBorder="1" applyAlignment="1" applyProtection="1">
      <alignment horizontal="center" vertical="center"/>
      <protection locked="0"/>
    </xf>
    <xf numFmtId="49" fontId="5" fillId="3" borderId="3" xfId="0" applyNumberFormat="1" applyFont="1" applyFill="1" applyBorder="1" applyAlignment="1" applyProtection="1">
      <alignment horizontal="center" vertical="center"/>
    </xf>
    <xf numFmtId="0" fontId="11" fillId="6" borderId="33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68" xfId="0" applyBorder="1" applyAlignment="1">
      <alignment horizontal="center" vertical="center"/>
    </xf>
    <xf numFmtId="0" fontId="5" fillId="2" borderId="169" xfId="0" applyFont="1" applyFill="1" applyBorder="1" applyAlignment="1" applyProtection="1">
      <alignment vertical="center"/>
      <protection locked="0"/>
    </xf>
    <xf numFmtId="0" fontId="0" fillId="0" borderId="169" xfId="0" applyBorder="1" applyAlignment="1" applyProtection="1">
      <alignment vertical="center"/>
      <protection locked="0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 applyProtection="1">
      <alignment horizontal="center" vertical="center"/>
      <protection locked="0"/>
    </xf>
    <xf numFmtId="0" fontId="8" fillId="3" borderId="22" xfId="0" applyFont="1" applyFill="1" applyBorder="1" applyAlignment="1">
      <alignment vertical="center" wrapText="1"/>
    </xf>
    <xf numFmtId="0" fontId="8" fillId="3" borderId="70" xfId="0" applyFont="1" applyFill="1" applyBorder="1" applyAlignment="1">
      <alignment vertical="center" wrapText="1"/>
    </xf>
    <xf numFmtId="0" fontId="5" fillId="3" borderId="3" xfId="0" applyFont="1" applyFill="1" applyBorder="1" applyAlignment="1" applyProtection="1">
      <alignment vertical="center"/>
    </xf>
    <xf numFmtId="0" fontId="0" fillId="6" borderId="3" xfId="0" applyFill="1" applyBorder="1" applyAlignment="1">
      <alignment vertical="center"/>
    </xf>
    <xf numFmtId="49" fontId="5" fillId="2" borderId="169" xfId="0" applyNumberFormat="1" applyFont="1" applyFill="1" applyBorder="1" applyAlignment="1" applyProtection="1">
      <alignment horizontal="center" vertical="center"/>
      <protection locked="0"/>
    </xf>
    <xf numFmtId="0" fontId="8" fillId="3" borderId="20" xfId="0" applyFont="1" applyFill="1" applyBorder="1" applyAlignment="1" applyProtection="1">
      <alignment horizontal="center" vertical="center"/>
    </xf>
    <xf numFmtId="0" fontId="0" fillId="0" borderId="20" xfId="0" applyBorder="1" applyAlignment="1"/>
    <xf numFmtId="3" fontId="25" fillId="2" borderId="24" xfId="0" applyNumberFormat="1" applyFont="1" applyFill="1" applyBorder="1" applyAlignment="1" applyProtection="1">
      <alignment horizontal="center" vertical="center"/>
    </xf>
    <xf numFmtId="3" fontId="25" fillId="2" borderId="57" xfId="0" applyNumberFormat="1" applyFont="1" applyFill="1" applyBorder="1" applyAlignment="1" applyProtection="1">
      <alignment horizontal="center" vertical="center"/>
    </xf>
    <xf numFmtId="0" fontId="0" fillId="0" borderId="169" xfId="0" applyBorder="1" applyAlignment="1" applyProtection="1">
      <alignment horizontal="center" vertical="center"/>
      <protection locked="0"/>
    </xf>
    <xf numFmtId="0" fontId="8" fillId="3" borderId="65" xfId="0" applyFont="1" applyFill="1" applyBorder="1" applyAlignment="1">
      <alignment horizontal="center" vertical="center"/>
    </xf>
    <xf numFmtId="0" fontId="8" fillId="3" borderId="73" xfId="0" applyFont="1" applyFill="1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0" fontId="0" fillId="0" borderId="70" xfId="0" applyBorder="1" applyAlignment="1">
      <alignment horizontal="center" vertical="center" wrapText="1"/>
    </xf>
    <xf numFmtId="0" fontId="25" fillId="3" borderId="24" xfId="0" applyFont="1" applyFill="1" applyBorder="1" applyAlignment="1" applyProtection="1">
      <alignment vertical="center"/>
    </xf>
    <xf numFmtId="0" fontId="0" fillId="6" borderId="44" xfId="0" applyFill="1" applyBorder="1" applyAlignment="1" applyProtection="1">
      <alignment vertical="center"/>
    </xf>
    <xf numFmtId="0" fontId="7" fillId="3" borderId="0" xfId="0" applyFont="1" applyFill="1" applyBorder="1" applyAlignment="1" applyProtection="1">
      <alignment horizontal="left"/>
    </xf>
    <xf numFmtId="0" fontId="11" fillId="0" borderId="0" xfId="0" applyFont="1" applyBorder="1" applyAlignment="1">
      <alignment horizontal="left"/>
    </xf>
    <xf numFmtId="0" fontId="8" fillId="3" borderId="169" xfId="0" applyFont="1" applyFill="1" applyBorder="1" applyAlignment="1">
      <alignment horizontal="center" vertical="center"/>
    </xf>
    <xf numFmtId="0" fontId="0" fillId="0" borderId="169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8" fillId="23" borderId="3" xfId="0" applyFont="1" applyFill="1" applyBorder="1" applyAlignment="1">
      <alignment horizontal="center"/>
    </xf>
    <xf numFmtId="0" fontId="8" fillId="23" borderId="7" xfId="0" applyFont="1" applyFill="1" applyBorder="1" applyAlignment="1">
      <alignment horizontal="center"/>
    </xf>
    <xf numFmtId="0" fontId="0" fillId="37" borderId="9" xfId="0" applyFill="1" applyBorder="1"/>
    <xf numFmtId="0" fontId="8" fillId="3" borderId="3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0" fillId="0" borderId="9" xfId="0" applyBorder="1"/>
    <xf numFmtId="0" fontId="8" fillId="3" borderId="57" xfId="0" applyFont="1" applyFill="1" applyBorder="1" applyAlignment="1">
      <alignment vertical="center"/>
    </xf>
    <xf numFmtId="0" fontId="8" fillId="3" borderId="27" xfId="0" applyFont="1" applyFill="1" applyBorder="1" applyAlignment="1">
      <alignment horizontal="center"/>
    </xf>
    <xf numFmtId="0" fontId="8" fillId="3" borderId="33" xfId="0" applyFont="1" applyFill="1" applyBorder="1" applyAlignment="1">
      <alignment horizontal="center"/>
    </xf>
    <xf numFmtId="0" fontId="0" fillId="0" borderId="36" xfId="0" applyBorder="1"/>
    <xf numFmtId="0" fontId="8" fillId="23" borderId="24" xfId="0" applyFont="1" applyFill="1" applyBorder="1" applyAlignment="1">
      <alignment vertical="center" wrapText="1"/>
    </xf>
    <xf numFmtId="0" fontId="8" fillId="23" borderId="57" xfId="0" applyFont="1" applyFill="1" applyBorder="1" applyAlignment="1">
      <alignment vertical="center"/>
    </xf>
    <xf numFmtId="0" fontId="8" fillId="3" borderId="108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horizontal="center"/>
    </xf>
    <xf numFmtId="0" fontId="8" fillId="3" borderId="151" xfId="0" applyFont="1" applyFill="1" applyBorder="1" applyAlignment="1">
      <alignment horizontal="center"/>
    </xf>
    <xf numFmtId="0" fontId="0" fillId="0" borderId="1" xfId="0" applyBorder="1"/>
    <xf numFmtId="3" fontId="5" fillId="2" borderId="151" xfId="0" applyNumberFormat="1" applyFont="1" applyFill="1" applyBorder="1" applyAlignment="1" applyProtection="1">
      <alignment horizontal="center" vertical="center"/>
      <protection locked="0"/>
    </xf>
    <xf numFmtId="3" fontId="5" fillId="2" borderId="107" xfId="0" applyNumberFormat="1" applyFont="1" applyFill="1" applyBorder="1" applyAlignment="1" applyProtection="1">
      <alignment horizontal="center" vertical="center"/>
      <protection locked="0"/>
    </xf>
    <xf numFmtId="3" fontId="5" fillId="2" borderId="108" xfId="0" applyNumberFormat="1" applyFont="1" applyFill="1" applyBorder="1" applyAlignment="1" applyProtection="1">
      <alignment horizontal="center" vertical="center"/>
      <protection locked="0"/>
    </xf>
    <xf numFmtId="3" fontId="5" fillId="2" borderId="57" xfId="0" applyNumberFormat="1" applyFont="1" applyFill="1" applyBorder="1" applyAlignment="1" applyProtection="1">
      <alignment horizontal="center" vertical="center"/>
      <protection locked="0"/>
    </xf>
    <xf numFmtId="0" fontId="8" fillId="23" borderId="107" xfId="0" applyFont="1" applyFill="1" applyBorder="1" applyAlignment="1">
      <alignment vertical="center"/>
    </xf>
    <xf numFmtId="0" fontId="8" fillId="23" borderId="108" xfId="0" applyFont="1" applyFill="1" applyBorder="1" applyAlignment="1">
      <alignment vertical="center"/>
    </xf>
    <xf numFmtId="0" fontId="8" fillId="23" borderId="2" xfId="0" applyFont="1" applyFill="1" applyBorder="1" applyAlignment="1">
      <alignment horizontal="center"/>
    </xf>
    <xf numFmtId="0" fontId="8" fillId="23" borderId="151" xfId="0" applyFont="1" applyFill="1" applyBorder="1" applyAlignment="1">
      <alignment horizontal="center"/>
    </xf>
    <xf numFmtId="0" fontId="0" fillId="37" borderId="1" xfId="0" applyFill="1" applyBorder="1"/>
    <xf numFmtId="0" fontId="8" fillId="3" borderId="8" xfId="0" applyFont="1" applyFill="1" applyBorder="1" applyAlignment="1" applyProtection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71" xfId="0" applyFont="1" applyBorder="1" applyAlignment="1">
      <alignment vertical="center"/>
    </xf>
    <xf numFmtId="0" fontId="20" fillId="3" borderId="0" xfId="0" applyFont="1" applyFill="1" applyAlignment="1" applyProtection="1">
      <alignment horizontal="center"/>
    </xf>
    <xf numFmtId="0" fontId="2" fillId="6" borderId="0" xfId="0" applyFont="1" applyFill="1" applyAlignment="1" applyProtection="1"/>
    <xf numFmtId="0" fontId="15" fillId="6" borderId="25" xfId="0" applyFont="1" applyFill="1" applyBorder="1" applyAlignment="1" applyProtection="1">
      <alignment horizontal="center"/>
    </xf>
    <xf numFmtId="0" fontId="0" fillId="6" borderId="25" xfId="0" applyFill="1" applyBorder="1" applyAlignment="1" applyProtection="1">
      <alignment horizontal="center"/>
    </xf>
    <xf numFmtId="0" fontId="0" fillId="6" borderId="25" xfId="0" applyFill="1" applyBorder="1" applyAlignment="1" applyProtection="1"/>
    <xf numFmtId="0" fontId="35" fillId="3" borderId="0" xfId="0" applyFont="1" applyFill="1" applyAlignment="1">
      <alignment vertical="center" wrapText="1"/>
    </xf>
    <xf numFmtId="0" fontId="13" fillId="3" borderId="0" xfId="0" applyFont="1" applyFill="1" applyAlignment="1" applyProtection="1"/>
    <xf numFmtId="0" fontId="35" fillId="3" borderId="0" xfId="0" applyFont="1" applyFill="1"/>
    <xf numFmtId="0" fontId="0" fillId="7" borderId="77" xfId="0" applyFill="1" applyBorder="1" applyAlignment="1" applyProtection="1">
      <alignment horizontal="center"/>
      <protection locked="0"/>
    </xf>
    <xf numFmtId="0" fontId="0" fillId="6" borderId="72" xfId="0" applyFill="1" applyBorder="1" applyAlignment="1">
      <alignment vertical="center"/>
    </xf>
    <xf numFmtId="0" fontId="0" fillId="6" borderId="78" xfId="0" applyFill="1" applyBorder="1" applyAlignment="1">
      <alignment vertical="center"/>
    </xf>
    <xf numFmtId="0" fontId="11" fillId="7" borderId="0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13" fillId="2" borderId="35" xfId="0" applyFont="1" applyFill="1" applyBorder="1" applyAlignment="1" applyProtection="1"/>
    <xf numFmtId="0" fontId="11" fillId="7" borderId="42" xfId="0" applyFont="1" applyFill="1" applyBorder="1" applyAlignment="1"/>
    <xf numFmtId="0" fontId="64" fillId="3" borderId="0" xfId="0" applyFont="1" applyFill="1" applyBorder="1" applyAlignment="1" applyProtection="1">
      <alignment horizontal="left" vertical="center"/>
    </xf>
    <xf numFmtId="0" fontId="42" fillId="0" borderId="0" xfId="0" applyFont="1" applyAlignment="1">
      <alignment horizontal="left" vertical="center"/>
    </xf>
    <xf numFmtId="0" fontId="57" fillId="2" borderId="81" xfId="0" applyFont="1" applyFill="1" applyBorder="1" applyAlignment="1" applyProtection="1">
      <alignment horizontal="left" vertical="center"/>
    </xf>
    <xf numFmtId="0" fontId="79" fillId="7" borderId="72" xfId="0" applyFont="1" applyFill="1" applyBorder="1" applyAlignment="1">
      <alignment horizontal="left" vertical="center"/>
    </xf>
    <xf numFmtId="0" fontId="79" fillId="7" borderId="78" xfId="0" applyFont="1" applyFill="1" applyBorder="1" applyAlignment="1">
      <alignment horizontal="left" vertical="center"/>
    </xf>
    <xf numFmtId="14" fontId="25" fillId="2" borderId="15" xfId="0" applyNumberFormat="1" applyFont="1" applyFill="1" applyBorder="1" applyAlignment="1" applyProtection="1">
      <alignment horizontal="center" vertical="center"/>
    </xf>
    <xf numFmtId="0" fontId="0" fillId="2" borderId="25" xfId="0" applyFill="1" applyBorder="1" applyAlignment="1">
      <alignment horizontal="center" vertical="center"/>
    </xf>
    <xf numFmtId="14" fontId="25" fillId="2" borderId="8" xfId="0" applyNumberFormat="1" applyFont="1" applyFill="1" applyBorder="1" applyAlignment="1" applyProtection="1">
      <alignment horizontal="center" vertical="center"/>
      <protection locked="0"/>
    </xf>
    <xf numFmtId="0" fontId="26" fillId="2" borderId="71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Alignment="1" applyProtection="1"/>
    <xf numFmtId="0" fontId="12" fillId="0" borderId="0" xfId="0" applyFont="1" applyAlignment="1"/>
    <xf numFmtId="0" fontId="64" fillId="3" borderId="0" xfId="0" applyFont="1" applyFill="1" applyAlignment="1" applyProtection="1">
      <alignment vertical="center" wrapText="1"/>
    </xf>
    <xf numFmtId="0" fontId="42" fillId="0" borderId="0" xfId="0" applyFont="1" applyAlignment="1">
      <alignment vertical="center" wrapText="1"/>
    </xf>
    <xf numFmtId="0" fontId="8" fillId="3" borderId="4" xfId="0" applyFont="1" applyFill="1" applyBorder="1" applyAlignment="1" applyProtection="1">
      <alignment vertical="center"/>
    </xf>
    <xf numFmtId="0" fontId="11" fillId="0" borderId="22" xfId="0" applyFont="1" applyBorder="1" applyAlignment="1">
      <alignment vertical="center"/>
    </xf>
    <xf numFmtId="0" fontId="11" fillId="0" borderId="70" xfId="0" applyFont="1" applyBorder="1" applyAlignment="1">
      <alignment vertical="center"/>
    </xf>
    <xf numFmtId="0" fontId="64" fillId="3" borderId="79" xfId="0" applyFont="1" applyFill="1" applyBorder="1" applyAlignment="1" applyProtection="1">
      <alignment horizontal="left" vertical="center"/>
    </xf>
    <xf numFmtId="0" fontId="42" fillId="0" borderId="40" xfId="0" applyFont="1" applyBorder="1" applyAlignment="1">
      <alignment horizontal="left" vertical="center"/>
    </xf>
    <xf numFmtId="0" fontId="42" fillId="0" borderId="80" xfId="0" applyFont="1" applyBorder="1" applyAlignment="1">
      <alignment horizontal="left" vertical="center"/>
    </xf>
    <xf numFmtId="0" fontId="64" fillId="3" borderId="19" xfId="0" applyFont="1" applyFill="1" applyBorder="1" applyAlignment="1" applyProtection="1">
      <alignment horizontal="left" vertical="center"/>
    </xf>
    <xf numFmtId="0" fontId="42" fillId="0" borderId="0" xfId="0" applyFont="1" applyBorder="1" applyAlignment="1">
      <alignment horizontal="left" vertical="center"/>
    </xf>
    <xf numFmtId="0" fontId="42" fillId="0" borderId="32" xfId="0" applyFont="1" applyBorder="1" applyAlignment="1">
      <alignment horizontal="left" vertical="center"/>
    </xf>
    <xf numFmtId="0" fontId="25" fillId="0" borderId="8" xfId="0" applyFont="1" applyFill="1" applyBorder="1" applyAlignment="1" applyProtection="1">
      <alignment horizontal="left" vertical="center"/>
      <protection locked="0"/>
    </xf>
    <xf numFmtId="0" fontId="26" fillId="0" borderId="23" xfId="0" applyFont="1" applyBorder="1" applyAlignment="1" applyProtection="1">
      <alignment horizontal="left" vertical="center"/>
      <protection locked="0"/>
    </xf>
    <xf numFmtId="0" fontId="26" fillId="0" borderId="43" xfId="0" applyFont="1" applyBorder="1" applyAlignment="1" applyProtection="1">
      <alignment horizontal="left" vertical="center"/>
      <protection locked="0"/>
    </xf>
    <xf numFmtId="0" fontId="57" fillId="3" borderId="19" xfId="0" applyFont="1" applyFill="1" applyBorder="1" applyAlignment="1" applyProtection="1">
      <alignment horizontal="left" vertical="center"/>
    </xf>
    <xf numFmtId="0" fontId="17" fillId="3" borderId="19" xfId="0" applyFont="1" applyFill="1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0" fillId="6" borderId="32" xfId="0" applyFill="1" applyBorder="1" applyAlignment="1">
      <alignment vertical="center"/>
    </xf>
    <xf numFmtId="0" fontId="17" fillId="3" borderId="81" xfId="0" applyFont="1" applyFill="1" applyBorder="1" applyAlignment="1" applyProtection="1">
      <alignment vertical="center"/>
    </xf>
    <xf numFmtId="0" fontId="8" fillId="3" borderId="5" xfId="0" applyFont="1" applyFill="1" applyBorder="1" applyAlignment="1" applyProtection="1">
      <alignment vertical="center" wrapText="1" shrinkToFit="1"/>
    </xf>
    <xf numFmtId="0" fontId="11" fillId="0" borderId="24" xfId="0" applyFont="1" applyBorder="1" applyAlignment="1">
      <alignment vertical="center" wrapText="1" shrinkToFit="1"/>
    </xf>
    <xf numFmtId="0" fontId="11" fillId="0" borderId="24" xfId="0" applyFont="1" applyBorder="1" applyAlignment="1">
      <alignment vertical="center"/>
    </xf>
    <xf numFmtId="0" fontId="11" fillId="0" borderId="57" xfId="0" applyFont="1" applyBorder="1" applyAlignment="1">
      <alignment vertical="center"/>
    </xf>
    <xf numFmtId="0" fontId="8" fillId="3" borderId="8" xfId="0" applyFont="1" applyFill="1" applyBorder="1" applyAlignment="1">
      <alignment vertical="center" wrapText="1" shrinkToFit="1"/>
    </xf>
    <xf numFmtId="0" fontId="0" fillId="7" borderId="74" xfId="0" applyFill="1" applyBorder="1" applyAlignment="1" applyProtection="1">
      <alignment vertical="center"/>
      <protection locked="0"/>
    </xf>
    <xf numFmtId="0" fontId="0" fillId="7" borderId="25" xfId="0" applyFill="1" applyBorder="1" applyAlignment="1" applyProtection="1">
      <alignment vertical="center"/>
      <protection locked="0"/>
    </xf>
    <xf numFmtId="0" fontId="0" fillId="7" borderId="82" xfId="0" applyFill="1" applyBorder="1" applyAlignment="1" applyProtection="1">
      <alignment vertical="center"/>
      <protection locked="0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2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11" fillId="7" borderId="0" xfId="0" applyFont="1" applyFill="1" applyBorder="1" applyAlignment="1" applyProtection="1">
      <alignment horizontal="center" vertical="center"/>
      <protection locked="0"/>
    </xf>
    <xf numFmtId="49" fontId="0" fillId="7" borderId="83" xfId="0" applyNumberFormat="1" applyFill="1" applyBorder="1" applyAlignment="1" applyProtection="1">
      <alignment horizontal="center"/>
      <protection locked="0"/>
    </xf>
    <xf numFmtId="0" fontId="0" fillId="7" borderId="0" xfId="0" applyFill="1" applyBorder="1" applyAlignment="1"/>
    <xf numFmtId="3" fontId="0" fillId="7" borderId="83" xfId="0" applyNumberFormat="1" applyFill="1" applyBorder="1" applyAlignment="1" applyProtection="1">
      <alignment horizontal="center"/>
      <protection locked="0"/>
    </xf>
    <xf numFmtId="0" fontId="0" fillId="7" borderId="83" xfId="0" applyFill="1" applyBorder="1" applyAlignment="1" applyProtection="1">
      <alignment horizontal="center"/>
      <protection locked="0"/>
    </xf>
    <xf numFmtId="0" fontId="0" fillId="0" borderId="83" xfId="0" applyBorder="1" applyAlignment="1" applyProtection="1">
      <protection locked="0"/>
    </xf>
    <xf numFmtId="0" fontId="0" fillId="7" borderId="77" xfId="0" applyFill="1" applyBorder="1" applyAlignment="1" applyProtection="1">
      <protection locked="0"/>
    </xf>
    <xf numFmtId="0" fontId="9" fillId="3" borderId="79" xfId="0" applyFont="1" applyFill="1" applyBorder="1" applyAlignment="1" applyProtection="1"/>
    <xf numFmtId="0" fontId="0" fillId="0" borderId="80" xfId="0" applyBorder="1" applyAlignment="1"/>
    <xf numFmtId="0" fontId="18" fillId="2" borderId="19" xfId="0" applyFont="1" applyFill="1" applyBorder="1" applyAlignment="1" applyProtection="1"/>
    <xf numFmtId="0" fontId="0" fillId="7" borderId="32" xfId="0" applyFill="1" applyBorder="1" applyAlignment="1"/>
    <xf numFmtId="0" fontId="6" fillId="2" borderId="81" xfId="0" applyFont="1" applyFill="1" applyBorder="1" applyAlignment="1" applyProtection="1">
      <alignment horizontal="center"/>
    </xf>
    <xf numFmtId="0" fontId="0" fillId="7" borderId="72" xfId="0" applyFill="1" applyBorder="1" applyAlignment="1" applyProtection="1">
      <alignment horizontal="center"/>
    </xf>
    <xf numFmtId="0" fontId="0" fillId="7" borderId="78" xfId="0" applyFill="1" applyBorder="1" applyAlignment="1" applyProtection="1">
      <alignment horizontal="center"/>
    </xf>
    <xf numFmtId="0" fontId="6" fillId="3" borderId="40" xfId="0" applyFont="1" applyFill="1" applyBorder="1" applyAlignment="1" applyProtection="1">
      <alignment horizontal="center"/>
    </xf>
    <xf numFmtId="0" fontId="0" fillId="6" borderId="40" xfId="0" applyFill="1" applyBorder="1" applyAlignment="1" applyProtection="1">
      <alignment horizontal="center"/>
    </xf>
    <xf numFmtId="0" fontId="25" fillId="2" borderId="79" xfId="0" applyFont="1" applyFill="1" applyBorder="1" applyAlignment="1" applyProtection="1">
      <alignment horizontal="right" vertical="center"/>
      <protection locked="0"/>
    </xf>
    <xf numFmtId="0" fontId="3" fillId="0" borderId="40" xfId="0" applyFont="1" applyBorder="1" applyAlignment="1" applyProtection="1">
      <alignment horizontal="right" vertical="center"/>
      <protection locked="0"/>
    </xf>
    <xf numFmtId="0" fontId="11" fillId="0" borderId="40" xfId="0" applyFont="1" applyBorder="1" applyAlignment="1">
      <alignment horizontal="right" wrapText="1"/>
    </xf>
    <xf numFmtId="0" fontId="0" fillId="0" borderId="40" xfId="0" applyBorder="1" applyAlignment="1">
      <alignment horizontal="right" wrapText="1"/>
    </xf>
    <xf numFmtId="0" fontId="11" fillId="0" borderId="131" xfId="0" applyFont="1" applyBorder="1" applyAlignment="1" applyProtection="1">
      <alignment wrapText="1"/>
      <protection locked="0"/>
    </xf>
    <xf numFmtId="0" fontId="0" fillId="0" borderId="132" xfId="0" applyBorder="1" applyProtection="1">
      <protection locked="0"/>
    </xf>
    <xf numFmtId="0" fontId="0" fillId="0" borderId="133" xfId="0" applyBorder="1" applyProtection="1">
      <protection locked="0"/>
    </xf>
    <xf numFmtId="0" fontId="0" fillId="7" borderId="77" xfId="0" applyNumberFormat="1" applyFill="1" applyBorder="1" applyAlignment="1" applyProtection="1">
      <alignment horizontal="center"/>
      <protection locked="0"/>
    </xf>
    <xf numFmtId="49" fontId="3" fillId="7" borderId="0" xfId="0" applyNumberFormat="1" applyFont="1" applyFill="1" applyBorder="1" applyAlignment="1" applyProtection="1">
      <alignment horizontal="left"/>
    </xf>
    <xf numFmtId="0" fontId="11" fillId="0" borderId="107" xfId="0" applyFont="1" applyBorder="1" applyAlignment="1">
      <alignment vertical="center" wrapText="1" shrinkToFit="1"/>
    </xf>
    <xf numFmtId="0" fontId="11" fillId="0" borderId="107" xfId="0" applyFont="1" applyBorder="1" applyAlignment="1">
      <alignment vertical="center"/>
    </xf>
    <xf numFmtId="0" fontId="11" fillId="0" borderId="108" xfId="0" applyFont="1" applyBorder="1" applyAlignment="1">
      <alignment vertical="center"/>
    </xf>
    <xf numFmtId="0" fontId="100" fillId="3" borderId="0" xfId="0" applyFont="1" applyFill="1" applyAlignment="1">
      <alignment vertical="center" wrapText="1"/>
    </xf>
    <xf numFmtId="0" fontId="96" fillId="0" borderId="0" xfId="0" applyFont="1" applyAlignment="1">
      <alignment vertical="center" wrapText="1"/>
    </xf>
    <xf numFmtId="0" fontId="0" fillId="7" borderId="83" xfId="0" applyNumberFormat="1" applyFill="1" applyBorder="1" applyAlignment="1" applyProtection="1">
      <protection locked="0"/>
    </xf>
    <xf numFmtId="0" fontId="0" fillId="6" borderId="40" xfId="0" applyFill="1" applyBorder="1" applyAlignment="1"/>
    <xf numFmtId="0" fontId="17" fillId="3" borderId="0" xfId="0" applyFont="1" applyFill="1" applyAlignment="1" applyProtection="1"/>
    <xf numFmtId="0" fontId="42" fillId="6" borderId="72" xfId="0" applyFont="1" applyFill="1" applyBorder="1" applyAlignment="1">
      <alignment horizontal="center" vertical="center"/>
    </xf>
    <xf numFmtId="0" fontId="2" fillId="0" borderId="26" xfId="0" applyFont="1" applyFill="1" applyBorder="1" applyAlignment="1" applyProtection="1">
      <alignment horizontal="center" vertical="center"/>
      <protection locked="0"/>
    </xf>
    <xf numFmtId="0" fontId="2" fillId="0" borderId="71" xfId="0" applyFont="1" applyBorder="1" applyAlignment="1" applyProtection="1">
      <alignment horizontal="center" vertical="center"/>
      <protection locked="0"/>
    </xf>
    <xf numFmtId="0" fontId="96" fillId="3" borderId="0" xfId="0" applyFont="1" applyFill="1" applyAlignment="1">
      <alignment vertical="top" wrapText="1"/>
    </xf>
    <xf numFmtId="0" fontId="96" fillId="0" borderId="0" xfId="0" applyFont="1" applyAlignment="1">
      <alignment vertical="top" wrapText="1"/>
    </xf>
    <xf numFmtId="0" fontId="13" fillId="3" borderId="74" xfId="0" applyFont="1" applyFill="1" applyBorder="1" applyAlignment="1" applyProtection="1">
      <alignment horizontal="center"/>
    </xf>
    <xf numFmtId="0" fontId="0" fillId="0" borderId="122" xfId="0" applyBorder="1" applyAlignment="1"/>
    <xf numFmtId="0" fontId="46" fillId="9" borderId="0" xfId="0" applyFont="1" applyFill="1" applyBorder="1" applyAlignment="1">
      <alignment horizontal="center"/>
    </xf>
    <xf numFmtId="0" fontId="29" fillId="9" borderId="72" xfId="0" applyFont="1" applyFill="1" applyBorder="1" applyAlignment="1">
      <alignment horizontal="center"/>
    </xf>
    <xf numFmtId="0" fontId="0" fillId="0" borderId="72" xfId="0" applyBorder="1" applyAlignment="1">
      <alignment horizontal="center"/>
    </xf>
    <xf numFmtId="0" fontId="38" fillId="2" borderId="40" xfId="0" applyFont="1" applyFill="1" applyBorder="1" applyAlignment="1" applyProtection="1">
      <alignment horizontal="right"/>
      <protection locked="0"/>
    </xf>
    <xf numFmtId="0" fontId="0" fillId="7" borderId="40" xfId="0" applyFill="1" applyBorder="1" applyAlignment="1" applyProtection="1">
      <protection locked="0"/>
    </xf>
    <xf numFmtId="0" fontId="30" fillId="9" borderId="40" xfId="0" applyFont="1" applyFill="1" applyBorder="1" applyAlignment="1"/>
    <xf numFmtId="0" fontId="37" fillId="9" borderId="0" xfId="0" applyFont="1" applyFill="1" applyBorder="1" applyAlignment="1">
      <alignment horizontal="center"/>
    </xf>
    <xf numFmtId="0" fontId="23" fillId="2" borderId="0" xfId="0" applyFont="1" applyFill="1" applyBorder="1" applyAlignment="1" applyProtection="1">
      <alignment horizontal="center"/>
      <protection locked="0"/>
    </xf>
    <xf numFmtId="0" fontId="5" fillId="9" borderId="0" xfId="0" applyFont="1" applyFill="1" applyBorder="1" applyAlignment="1"/>
    <xf numFmtId="0" fontId="5" fillId="9" borderId="72" xfId="0" applyFont="1" applyFill="1" applyBorder="1" applyAlignment="1"/>
    <xf numFmtId="0" fontId="8" fillId="3" borderId="11" xfId="0" applyFont="1" applyFill="1" applyBorder="1" applyAlignment="1" applyProtection="1">
      <alignment horizontal="left" vertical="center" wrapText="1"/>
    </xf>
    <xf numFmtId="0" fontId="0" fillId="0" borderId="3" xfId="0" applyBorder="1" applyAlignment="1">
      <alignment vertical="center" wrapText="1"/>
    </xf>
    <xf numFmtId="0" fontId="2" fillId="6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6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3" fillId="7" borderId="3" xfId="0" applyNumberFormat="1" applyFont="1" applyFill="1" applyBorder="1" applyAlignment="1" applyProtection="1">
      <alignment horizontal="center" vertical="center"/>
    </xf>
    <xf numFmtId="3" fontId="0" fillId="0" borderId="3" xfId="0" applyNumberFormat="1" applyBorder="1" applyAlignment="1" applyProtection="1">
      <alignment horizontal="center" vertical="center"/>
    </xf>
    <xf numFmtId="3" fontId="3" fillId="7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0" fontId="11" fillId="6" borderId="40" xfId="0" applyFont="1" applyFill="1" applyBorder="1" applyAlignment="1">
      <alignment horizontal="center" vertical="center"/>
    </xf>
    <xf numFmtId="0" fontId="5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8" fillId="3" borderId="0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2" fillId="6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3" fontId="3" fillId="7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3" fontId="3" fillId="7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5" fillId="2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7" fillId="3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1" fillId="6" borderId="72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13" fillId="3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0" fontId="5" fillId="2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vertical="center" wrapText="1"/>
      <protection locked="0"/>
    </xf>
    <xf numFmtId="3" fontId="5" fillId="2" borderId="106" xfId="0" applyNumberFormat="1" applyFont="1" applyFill="1" applyBorder="1" applyAlignment="1" applyProtection="1">
      <alignment horizontal="center" vertical="center"/>
      <protection locked="0"/>
    </xf>
    <xf numFmtId="3" fontId="26" fillId="2" borderId="107" xfId="0" applyNumberFormat="1" applyFont="1" applyFill="1" applyBorder="1" applyAlignment="1" applyProtection="1">
      <alignment horizontal="center" vertical="center"/>
      <protection locked="0"/>
    </xf>
    <xf numFmtId="3" fontId="26" fillId="2" borderId="108" xfId="0" applyNumberFormat="1" applyFont="1" applyFill="1" applyBorder="1" applyAlignment="1" applyProtection="1">
      <alignment horizontal="center" vertical="center"/>
      <protection locked="0"/>
    </xf>
    <xf numFmtId="49" fontId="12" fillId="3" borderId="0" xfId="0" applyNumberFormat="1" applyFont="1" applyFill="1" applyBorder="1" applyAlignment="1">
      <alignment horizontal="center"/>
    </xf>
    <xf numFmtId="0" fontId="34" fillId="3" borderId="0" xfId="0" applyNumberFormat="1" applyFont="1" applyFill="1" applyBorder="1" applyAlignment="1">
      <alignment horizontal="center"/>
    </xf>
    <xf numFmtId="49" fontId="48" fillId="3" borderId="0" xfId="0" applyNumberFormat="1" applyFont="1" applyFill="1" applyBorder="1" applyAlignment="1">
      <alignment horizontal="left"/>
    </xf>
    <xf numFmtId="0" fontId="5" fillId="3" borderId="106" xfId="0" applyFont="1" applyFill="1" applyBorder="1" applyAlignment="1">
      <alignment vertical="center"/>
    </xf>
    <xf numFmtId="0" fontId="5" fillId="3" borderId="107" xfId="0" applyFont="1" applyFill="1" applyBorder="1" applyAlignment="1">
      <alignment vertical="center"/>
    </xf>
    <xf numFmtId="0" fontId="5" fillId="3" borderId="127" xfId="0" applyFont="1" applyFill="1" applyBorder="1" applyAlignment="1">
      <alignment vertical="center"/>
    </xf>
    <xf numFmtId="0" fontId="5" fillId="3" borderId="151" xfId="0" applyFont="1" applyFill="1" applyBorder="1" applyAlignment="1">
      <alignment vertical="center"/>
    </xf>
    <xf numFmtId="0" fontId="5" fillId="3" borderId="7" xfId="0" applyFont="1" applyFill="1" applyBorder="1" applyAlignment="1">
      <alignment vertical="center"/>
    </xf>
    <xf numFmtId="0" fontId="5" fillId="3" borderId="24" xfId="0" applyFont="1" applyFill="1" applyBorder="1" applyAlignment="1">
      <alignment vertical="center"/>
    </xf>
    <xf numFmtId="0" fontId="5" fillId="3" borderId="44" xfId="0" applyFont="1" applyFill="1" applyBorder="1" applyAlignment="1">
      <alignment vertical="center"/>
    </xf>
    <xf numFmtId="0" fontId="0" fillId="0" borderId="107" xfId="0" applyBorder="1" applyAlignment="1">
      <alignment vertical="center" wrapText="1" shrinkToFit="1"/>
    </xf>
    <xf numFmtId="0" fontId="0" fillId="0" borderId="108" xfId="0" applyBorder="1" applyAlignment="1">
      <alignment vertical="center" wrapText="1" shrinkToFit="1"/>
    </xf>
    <xf numFmtId="0" fontId="0" fillId="0" borderId="24" xfId="0" applyBorder="1" applyAlignment="1">
      <alignment vertical="center" wrapText="1" shrinkToFit="1"/>
    </xf>
    <xf numFmtId="0" fontId="0" fillId="0" borderId="57" xfId="0" applyBorder="1" applyAlignment="1">
      <alignment vertical="center" wrapText="1" shrinkToFit="1"/>
    </xf>
    <xf numFmtId="3" fontId="25" fillId="2" borderId="16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18" xfId="0" applyNumberFormat="1" applyFont="1" applyFill="1" applyBorder="1" applyAlignment="1" applyProtection="1">
      <alignment horizontal="center" vertical="center"/>
      <protection locked="0"/>
    </xf>
    <xf numFmtId="3" fontId="26" fillId="7" borderId="20" xfId="0" applyNumberFormat="1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Border="1" applyAlignment="1">
      <alignment vertical="center"/>
    </xf>
    <xf numFmtId="0" fontId="4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3" fillId="3" borderId="0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6" borderId="0" xfId="0" applyFill="1" applyBorder="1" applyAlignment="1">
      <alignment vertical="center" wrapText="1"/>
    </xf>
    <xf numFmtId="3" fontId="5" fillId="3" borderId="106" xfId="0" applyNumberFormat="1" applyFont="1" applyFill="1" applyBorder="1" applyAlignment="1" applyProtection="1">
      <alignment horizontal="center" vertical="center"/>
    </xf>
    <xf numFmtId="3" fontId="3" fillId="3" borderId="107" xfId="0" applyNumberFormat="1" applyFont="1" applyFill="1" applyBorder="1" applyAlignment="1" applyProtection="1">
      <alignment horizontal="center" vertical="center"/>
    </xf>
    <xf numFmtId="3" fontId="3" fillId="3" borderId="108" xfId="0" applyNumberFormat="1" applyFont="1" applyFill="1" applyBorder="1" applyAlignment="1" applyProtection="1">
      <alignment horizontal="center" vertical="center"/>
    </xf>
    <xf numFmtId="3" fontId="3" fillId="2" borderId="24" xfId="0" applyNumberFormat="1" applyFont="1" applyFill="1" applyBorder="1" applyAlignment="1">
      <alignment horizontal="center" vertical="center"/>
    </xf>
    <xf numFmtId="3" fontId="3" fillId="2" borderId="57" xfId="0" applyNumberFormat="1" applyFont="1" applyFill="1" applyBorder="1" applyAlignment="1">
      <alignment horizontal="center" vertical="center"/>
    </xf>
    <xf numFmtId="3" fontId="25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2" borderId="18" xfId="0" applyNumberFormat="1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Border="1" applyAlignment="1"/>
    <xf numFmtId="3" fontId="5" fillId="2" borderId="106" xfId="0" applyNumberFormat="1" applyFont="1" applyFill="1" applyBorder="1" applyAlignment="1">
      <alignment horizontal="center" vertical="center"/>
    </xf>
    <xf numFmtId="3" fontId="26" fillId="2" borderId="107" xfId="0" applyNumberFormat="1" applyFont="1" applyFill="1" applyBorder="1" applyAlignment="1">
      <alignment horizontal="center" vertical="center"/>
    </xf>
    <xf numFmtId="3" fontId="26" fillId="2" borderId="108" xfId="0" applyNumberFormat="1" applyFont="1" applyFill="1" applyBorder="1" applyAlignment="1">
      <alignment horizontal="center" vertical="center"/>
    </xf>
    <xf numFmtId="0" fontId="0" fillId="6" borderId="72" xfId="0" applyFill="1" applyBorder="1" applyAlignment="1"/>
    <xf numFmtId="0" fontId="8" fillId="3" borderId="33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vertical="center" wrapText="1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0" fillId="0" borderId="58" xfId="0" applyBorder="1" applyAlignment="1">
      <alignment vertical="center"/>
    </xf>
    <xf numFmtId="0" fontId="14" fillId="3" borderId="0" xfId="0" applyFont="1" applyFill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6" borderId="58" xfId="0" applyFill="1" applyBorder="1" applyAlignment="1">
      <alignment vertical="center" wrapText="1"/>
    </xf>
    <xf numFmtId="0" fontId="0" fillId="6" borderId="4" xfId="0" applyFill="1" applyBorder="1" applyAlignment="1">
      <alignment vertical="center"/>
    </xf>
    <xf numFmtId="0" fontId="0" fillId="6" borderId="22" xfId="0" applyFill="1" applyBorder="1" applyAlignment="1">
      <alignment vertical="center"/>
    </xf>
    <xf numFmtId="0" fontId="0" fillId="6" borderId="70" xfId="0" applyFill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 shrinkToFit="1"/>
    </xf>
    <xf numFmtId="0" fontId="0" fillId="0" borderId="22" xfId="0" applyBorder="1" applyAlignment="1">
      <alignment vertical="center" wrapText="1" shrinkToFit="1"/>
    </xf>
    <xf numFmtId="0" fontId="0" fillId="0" borderId="70" xfId="0" applyBorder="1" applyAlignment="1">
      <alignment vertical="center" wrapText="1" shrinkToFit="1"/>
    </xf>
    <xf numFmtId="0" fontId="14" fillId="3" borderId="0" xfId="0" applyFont="1" applyFill="1" applyBorder="1" applyAlignment="1">
      <alignment wrapText="1" shrinkToFit="1"/>
    </xf>
    <xf numFmtId="0" fontId="50" fillId="3" borderId="0" xfId="0" applyFont="1" applyFill="1" applyBorder="1" applyAlignment="1"/>
    <xf numFmtId="0" fontId="51" fillId="0" borderId="0" xfId="0" applyFont="1" applyAlignment="1"/>
    <xf numFmtId="0" fontId="51" fillId="0" borderId="32" xfId="0" applyFont="1" applyBorder="1" applyAlignment="1"/>
    <xf numFmtId="0" fontId="20" fillId="3" borderId="0" xfId="0" applyFont="1" applyFill="1" applyBorder="1" applyAlignment="1"/>
    <xf numFmtId="0" fontId="17" fillId="3" borderId="0" xfId="0" applyFont="1" applyFill="1" applyBorder="1" applyAlignment="1"/>
    <xf numFmtId="0" fontId="42" fillId="0" borderId="0" xfId="0" applyFont="1" applyAlignment="1"/>
    <xf numFmtId="0" fontId="13" fillId="3" borderId="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3" fillId="6" borderId="23" xfId="0" applyFont="1" applyFill="1" applyBorder="1" applyAlignment="1" applyProtection="1">
      <alignment vertical="center"/>
    </xf>
    <xf numFmtId="0" fontId="0" fillId="7" borderId="2" xfId="0" applyFill="1" applyBorder="1" applyAlignment="1" applyProtection="1">
      <alignment horizontal="left"/>
      <protection locked="0"/>
    </xf>
    <xf numFmtId="3" fontId="0" fillId="7" borderId="2" xfId="0" applyNumberFormat="1" applyFill="1" applyBorder="1" applyAlignment="1" applyProtection="1">
      <alignment horizontal="center"/>
      <protection locked="0"/>
    </xf>
    <xf numFmtId="3" fontId="0" fillId="7" borderId="1" xfId="0" applyNumberFormat="1" applyFill="1" applyBorder="1" applyAlignment="1" applyProtection="1">
      <alignment horizontal="center"/>
      <protection locked="0"/>
    </xf>
    <xf numFmtId="0" fontId="26" fillId="7" borderId="39" xfId="0" applyFont="1" applyFill="1" applyBorder="1" applyAlignment="1" applyProtection="1">
      <alignment horizontal="center"/>
      <protection locked="0"/>
    </xf>
    <xf numFmtId="0" fontId="26" fillId="7" borderId="58" xfId="0" applyFont="1" applyFill="1" applyBorder="1" applyAlignment="1" applyProtection="1">
      <alignment horizontal="center"/>
      <protection locked="0"/>
    </xf>
    <xf numFmtId="14" fontId="25" fillId="2" borderId="59" xfId="0" applyNumberFormat="1" applyFont="1" applyFill="1" applyBorder="1" applyAlignment="1" applyProtection="1">
      <alignment horizontal="center" wrapText="1"/>
      <protection locked="0"/>
    </xf>
    <xf numFmtId="0" fontId="26" fillId="7" borderId="17" xfId="0" applyFont="1" applyFill="1" applyBorder="1" applyAlignment="1" applyProtection="1">
      <alignment horizontal="center"/>
      <protection locked="0"/>
    </xf>
    <xf numFmtId="0" fontId="44" fillId="3" borderId="0" xfId="0" applyFont="1" applyFill="1" applyBorder="1" applyAlignment="1" applyProtection="1"/>
    <xf numFmtId="0" fontId="36" fillId="0" borderId="0" xfId="0" applyFont="1" applyAlignment="1"/>
    <xf numFmtId="0" fontId="24" fillId="6" borderId="33" xfId="0" applyFont="1" applyFill="1" applyBorder="1" applyAlignment="1">
      <alignment vertical="center" wrapText="1" shrinkToFit="1"/>
    </xf>
    <xf numFmtId="0" fontId="24" fillId="6" borderId="22" xfId="0" applyFont="1" applyFill="1" applyBorder="1" applyAlignment="1">
      <alignment vertical="center" wrapText="1" shrinkToFit="1"/>
    </xf>
    <xf numFmtId="0" fontId="24" fillId="6" borderId="70" xfId="0" applyFont="1" applyFill="1" applyBorder="1" applyAlignment="1">
      <alignment vertical="center" wrapText="1" shrinkToFit="1"/>
    </xf>
    <xf numFmtId="0" fontId="24" fillId="6" borderId="33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3" fillId="3" borderId="40" xfId="0" applyFont="1" applyFill="1" applyBorder="1" applyAlignment="1">
      <alignment wrapText="1"/>
    </xf>
    <xf numFmtId="0" fontId="34" fillId="6" borderId="0" xfId="0" applyFont="1" applyFill="1" applyAlignment="1">
      <alignment vertical="top"/>
    </xf>
    <xf numFmtId="0" fontId="28" fillId="6" borderId="0" xfId="0" applyFont="1" applyFill="1" applyAlignment="1">
      <alignment vertical="top"/>
    </xf>
    <xf numFmtId="0" fontId="43" fillId="6" borderId="0" xfId="0" applyFont="1" applyFill="1" applyAlignment="1"/>
    <xf numFmtId="0" fontId="0" fillId="6" borderId="0" xfId="0" applyFill="1" applyAlignment="1"/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6" borderId="19" xfId="0" applyFill="1" applyBorder="1" applyAlignment="1"/>
    <xf numFmtId="0" fontId="13" fillId="6" borderId="24" xfId="0" applyFont="1" applyFill="1" applyBorder="1" applyAlignment="1" applyProtection="1">
      <alignment vertical="center"/>
    </xf>
    <xf numFmtId="0" fontId="0" fillId="6" borderId="4" xfId="0" applyFill="1" applyBorder="1" applyAlignment="1"/>
    <xf numFmtId="0" fontId="0" fillId="0" borderId="70" xfId="0" applyBorder="1" applyAlignment="1"/>
    <xf numFmtId="0" fontId="24" fillId="6" borderId="40" xfId="0" applyFont="1" applyFill="1" applyBorder="1" applyAlignment="1">
      <alignment wrapText="1" shrinkToFit="1"/>
    </xf>
    <xf numFmtId="0" fontId="0" fillId="6" borderId="40" xfId="0" applyFill="1" applyBorder="1" applyAlignment="1">
      <alignment wrapText="1" shrinkToFit="1"/>
    </xf>
    <xf numFmtId="0" fontId="0" fillId="7" borderId="3" xfId="0" applyFill="1" applyBorder="1" applyAlignment="1" applyProtection="1">
      <alignment horizontal="left"/>
      <protection locked="0"/>
    </xf>
    <xf numFmtId="3" fontId="0" fillId="7" borderId="3" xfId="0" applyNumberFormat="1" applyFill="1" applyBorder="1" applyAlignment="1" applyProtection="1">
      <alignment horizontal="center"/>
      <protection locked="0"/>
    </xf>
    <xf numFmtId="3" fontId="0" fillId="7" borderId="9" xfId="0" applyNumberFormat="1" applyFill="1" applyBorder="1" applyAlignment="1" applyProtection="1">
      <alignment horizontal="center"/>
      <protection locked="0"/>
    </xf>
    <xf numFmtId="49" fontId="28" fillId="7" borderId="2" xfId="0" applyNumberFormat="1" applyFont="1" applyFill="1" applyBorder="1" applyAlignment="1" applyProtection="1">
      <alignment horizontal="center"/>
      <protection locked="0"/>
    </xf>
    <xf numFmtId="0" fontId="24" fillId="6" borderId="2" xfId="0" applyFont="1" applyFill="1" applyBorder="1" applyAlignment="1" applyProtection="1">
      <alignment horizontal="center"/>
    </xf>
    <xf numFmtId="0" fontId="5" fillId="2" borderId="7" xfId="0" applyFont="1" applyFill="1" applyBorder="1" applyAlignment="1" applyProtection="1">
      <alignment horizontal="center"/>
      <protection locked="0"/>
    </xf>
    <xf numFmtId="0" fontId="0" fillId="7" borderId="57" xfId="0" applyFill="1" applyBorder="1" applyAlignment="1" applyProtection="1">
      <alignment horizontal="center"/>
      <protection locked="0"/>
    </xf>
    <xf numFmtId="49" fontId="28" fillId="7" borderId="3" xfId="0" applyNumberFormat="1" applyFont="1" applyFill="1" applyBorder="1" applyAlignment="1" applyProtection="1">
      <alignment horizontal="center"/>
      <protection locked="0"/>
    </xf>
    <xf numFmtId="0" fontId="13" fillId="3" borderId="4" xfId="0" applyFont="1" applyFill="1" applyBorder="1" applyAlignment="1" applyProtection="1"/>
    <xf numFmtId="0" fontId="11" fillId="0" borderId="22" xfId="0" applyFont="1" applyBorder="1" applyAlignment="1"/>
    <xf numFmtId="0" fontId="11" fillId="0" borderId="6" xfId="0" applyFont="1" applyBorder="1" applyAlignment="1"/>
    <xf numFmtId="0" fontId="46" fillId="3" borderId="0" xfId="0" applyFont="1" applyFill="1" applyBorder="1" applyAlignment="1" applyProtection="1">
      <alignment horizontal="left"/>
    </xf>
    <xf numFmtId="0" fontId="36" fillId="0" borderId="0" xfId="0" applyFont="1" applyAlignment="1">
      <alignment horizontal="left"/>
    </xf>
    <xf numFmtId="0" fontId="8" fillId="3" borderId="81" xfId="0" applyFont="1" applyFill="1" applyBorder="1" applyAlignment="1" applyProtection="1">
      <alignment horizontal="left"/>
    </xf>
    <xf numFmtId="0" fontId="11" fillId="0" borderId="72" xfId="0" applyFont="1" applyBorder="1" applyAlignment="1">
      <alignment horizontal="left"/>
    </xf>
    <xf numFmtId="0" fontId="11" fillId="0" borderId="78" xfId="0" applyFont="1" applyBorder="1" applyAlignment="1">
      <alignment horizontal="left"/>
    </xf>
    <xf numFmtId="0" fontId="8" fillId="3" borderId="2" xfId="0" applyFont="1" applyFill="1" applyBorder="1" applyAlignment="1" applyProtection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47" fillId="6" borderId="72" xfId="0" applyFont="1" applyFill="1" applyBorder="1" applyAlignment="1"/>
    <xf numFmtId="0" fontId="47" fillId="6" borderId="0" xfId="0" applyFont="1" applyFill="1" applyAlignment="1"/>
    <xf numFmtId="0" fontId="13" fillId="3" borderId="63" xfId="0" applyFont="1" applyFill="1" applyBorder="1" applyAlignment="1" applyProtection="1">
      <alignment vertical="center" wrapText="1"/>
    </xf>
    <xf numFmtId="0" fontId="11" fillId="0" borderId="12" xfId="0" applyFont="1" applyBorder="1" applyAlignment="1">
      <alignment vertical="center" wrapText="1"/>
    </xf>
    <xf numFmtId="0" fontId="0" fillId="0" borderId="64" xfId="0" applyBorder="1" applyAlignment="1"/>
    <xf numFmtId="0" fontId="0" fillId="0" borderId="31" xfId="0" applyBorder="1" applyAlignment="1"/>
    <xf numFmtId="0" fontId="44" fillId="3" borderId="0" xfId="0" applyFont="1" applyFill="1" applyBorder="1" applyAlignment="1" applyProtection="1">
      <alignment horizontal="left" vertical="center"/>
    </xf>
    <xf numFmtId="0" fontId="36" fillId="0" borderId="0" xfId="0" applyFont="1" applyAlignment="1">
      <alignment vertical="center"/>
    </xf>
    <xf numFmtId="0" fontId="5" fillId="2" borderId="26" xfId="0" applyFont="1" applyFill="1" applyBorder="1" applyAlignment="1" applyProtection="1">
      <alignment horizontal="center"/>
      <protection locked="0"/>
    </xf>
    <xf numFmtId="0" fontId="0" fillId="7" borderId="71" xfId="0" applyFill="1" applyBorder="1" applyAlignment="1" applyProtection="1">
      <alignment horizontal="center"/>
      <protection locked="0"/>
    </xf>
    <xf numFmtId="0" fontId="8" fillId="3" borderId="26" xfId="0" applyFont="1" applyFill="1" applyBorder="1" applyAlignment="1" applyProtection="1"/>
    <xf numFmtId="0" fontId="0" fillId="0" borderId="43" xfId="0" applyBorder="1" applyAlignment="1" applyProtection="1"/>
    <xf numFmtId="0" fontId="13" fillId="3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3" fontId="3" fillId="0" borderId="39" xfId="0" applyNumberFormat="1" applyFont="1" applyBorder="1" applyAlignment="1" applyProtection="1">
      <alignment horizontal="center" vertical="center"/>
      <protection locked="0"/>
    </xf>
    <xf numFmtId="3" fontId="3" fillId="0" borderId="20" xfId="0" applyNumberFormat="1" applyFont="1" applyBorder="1" applyAlignment="1" applyProtection="1">
      <alignment horizontal="center" vertical="center"/>
      <protection locked="0"/>
    </xf>
    <xf numFmtId="3" fontId="3" fillId="0" borderId="58" xfId="0" applyNumberFormat="1" applyFont="1" applyBorder="1" applyAlignment="1" applyProtection="1">
      <alignment horizontal="center" vertical="center"/>
      <protection locked="0"/>
    </xf>
    <xf numFmtId="3" fontId="3" fillId="0" borderId="18" xfId="0" applyNumberFormat="1" applyFont="1" applyBorder="1" applyAlignment="1" applyProtection="1">
      <alignment horizontal="center" vertical="center"/>
      <protection locked="0"/>
    </xf>
    <xf numFmtId="3" fontId="0" fillId="7" borderId="71" xfId="0" applyNumberFormat="1" applyFill="1" applyBorder="1" applyAlignment="1" applyProtection="1">
      <alignment horizontal="center" vertical="center"/>
      <protection locked="0"/>
    </xf>
    <xf numFmtId="0" fontId="20" fillId="3" borderId="0" xfId="0" applyFont="1" applyFill="1" applyBorder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49" fillId="6" borderId="72" xfId="0" applyFont="1" applyFill="1" applyBorder="1" applyAlignment="1"/>
    <xf numFmtId="0" fontId="48" fillId="6" borderId="0" xfId="0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0" fontId="0" fillId="6" borderId="71" xfId="0" applyFill="1" applyBorder="1" applyAlignment="1" applyProtection="1">
      <alignment horizontal="center"/>
    </xf>
    <xf numFmtId="0" fontId="0" fillId="6" borderId="43" xfId="0" applyFill="1" applyBorder="1" applyAlignment="1" applyProtection="1">
      <alignment horizontal="center"/>
    </xf>
    <xf numFmtId="0" fontId="34" fillId="6" borderId="0" xfId="0" applyFont="1" applyFill="1" applyAlignment="1">
      <alignment horizontal="center" wrapText="1"/>
    </xf>
    <xf numFmtId="0" fontId="34" fillId="0" borderId="0" xfId="0" applyFont="1" applyAlignment="1">
      <alignment horizontal="center" wrapText="1"/>
    </xf>
    <xf numFmtId="0" fontId="11" fillId="6" borderId="59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/>
    </xf>
    <xf numFmtId="0" fontId="13" fillId="3" borderId="40" xfId="0" applyFont="1" applyFill="1" applyBorder="1" applyAlignment="1">
      <alignment horizontal="left"/>
    </xf>
    <xf numFmtId="0" fontId="0" fillId="0" borderId="40" xfId="0" applyBorder="1" applyAlignment="1">
      <alignment horizontal="left"/>
    </xf>
    <xf numFmtId="0" fontId="0" fillId="6" borderId="35" xfId="0" applyFill="1" applyBorder="1" applyAlignment="1"/>
    <xf numFmtId="0" fontId="0" fillId="6" borderId="42" xfId="0" applyFill="1" applyBorder="1" applyAlignment="1"/>
    <xf numFmtId="0" fontId="0" fillId="6" borderId="76" xfId="0" applyFill="1" applyBorder="1" applyAlignment="1"/>
    <xf numFmtId="0" fontId="13" fillId="3" borderId="0" xfId="0" applyFont="1" applyFill="1" applyBorder="1" applyAlignment="1">
      <alignment horizontal="left"/>
    </xf>
    <xf numFmtId="0" fontId="11" fillId="0" borderId="0" xfId="0" applyFont="1" applyAlignment="1">
      <alignment horizontal="left"/>
    </xf>
    <xf numFmtId="3" fontId="0" fillId="7" borderId="57" xfId="0" applyNumberFormat="1" applyFill="1" applyBorder="1" applyAlignment="1" applyProtection="1">
      <alignment horizontal="center" vertical="center"/>
    </xf>
    <xf numFmtId="0" fontId="8" fillId="3" borderId="7" xfId="0" applyFont="1" applyFill="1" applyBorder="1" applyAlignment="1" applyProtection="1"/>
    <xf numFmtId="0" fontId="0" fillId="0" borderId="44" xfId="0" applyBorder="1" applyAlignment="1" applyProtection="1"/>
    <xf numFmtId="0" fontId="8" fillId="3" borderId="0" xfId="0" applyFont="1" applyFill="1" applyBorder="1" applyAlignment="1">
      <alignment horizontal="right" vertical="center"/>
    </xf>
    <xf numFmtId="0" fontId="5" fillId="3" borderId="26" xfId="0" applyFont="1" applyFill="1" applyBorder="1" applyAlignment="1"/>
    <xf numFmtId="0" fontId="13" fillId="3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7" borderId="71" xfId="0" applyNumberFormat="1" applyFill="1" applyBorder="1" applyAlignment="1" applyProtection="1">
      <alignment horizontal="center" vertical="center"/>
    </xf>
    <xf numFmtId="0" fontId="8" fillId="3" borderId="57" xfId="0" applyFont="1" applyFill="1" applyBorder="1" applyAlignment="1" applyProtection="1">
      <alignment vertical="center" wrapText="1"/>
    </xf>
    <xf numFmtId="3" fontId="5" fillId="2" borderId="26" xfId="0" applyNumberFormat="1" applyFont="1" applyFill="1" applyBorder="1" applyAlignment="1" applyProtection="1">
      <alignment vertical="center"/>
      <protection locked="0"/>
    </xf>
    <xf numFmtId="3" fontId="0" fillId="0" borderId="71" xfId="0" applyNumberFormat="1" applyBorder="1" applyAlignment="1" applyProtection="1">
      <alignment vertical="center"/>
      <protection locked="0"/>
    </xf>
    <xf numFmtId="0" fontId="8" fillId="3" borderId="70" xfId="0" applyFont="1" applyFill="1" applyBorder="1" applyAlignment="1">
      <alignment horizontal="center" vertical="center"/>
    </xf>
    <xf numFmtId="0" fontId="8" fillId="3" borderId="26" xfId="0" applyFont="1" applyFill="1" applyBorder="1" applyAlignment="1">
      <alignment horizontal="center"/>
    </xf>
    <xf numFmtId="0" fontId="8" fillId="3" borderId="71" xfId="0" applyFont="1" applyFill="1" applyBorder="1" applyAlignment="1">
      <alignment horizontal="center"/>
    </xf>
    <xf numFmtId="3" fontId="5" fillId="2" borderId="26" xfId="0" applyNumberFormat="1" applyFont="1" applyFill="1" applyBorder="1" applyAlignment="1" applyProtection="1">
      <alignment vertical="center"/>
    </xf>
    <xf numFmtId="3" fontId="0" fillId="0" borderId="71" xfId="0" applyNumberFormat="1" applyBorder="1" applyAlignment="1" applyProtection="1">
      <alignment vertical="center"/>
    </xf>
    <xf numFmtId="0" fontId="8" fillId="3" borderId="33" xfId="0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/>
    </xf>
    <xf numFmtId="3" fontId="5" fillId="2" borderId="7" xfId="0" applyNumberFormat="1" applyFont="1" applyFill="1" applyBorder="1" applyAlignment="1">
      <alignment horizontal="right" vertical="center"/>
    </xf>
    <xf numFmtId="3" fontId="0" fillId="0" borderId="57" xfId="0" applyNumberFormat="1" applyBorder="1" applyAlignment="1">
      <alignment horizontal="right" vertical="center"/>
    </xf>
    <xf numFmtId="0" fontId="5" fillId="3" borderId="7" xfId="0" applyFont="1" applyFill="1" applyBorder="1" applyAlignment="1"/>
    <xf numFmtId="0" fontId="8" fillId="3" borderId="40" xfId="0" applyFont="1" applyFill="1" applyBorder="1" applyAlignment="1"/>
    <xf numFmtId="0" fontId="8" fillId="3" borderId="23" xfId="0" applyFont="1" applyFill="1" applyBorder="1" applyAlignment="1">
      <alignment vertical="center"/>
    </xf>
    <xf numFmtId="0" fontId="8" fillId="3" borderId="71" xfId="0" applyFont="1" applyFill="1" applyBorder="1" applyAlignment="1">
      <alignment vertical="center"/>
    </xf>
    <xf numFmtId="0" fontId="0" fillId="6" borderId="70" xfId="0" applyFill="1" applyBorder="1" applyAlignment="1"/>
    <xf numFmtId="0" fontId="8" fillId="3" borderId="24" xfId="0" applyFont="1" applyFill="1" applyBorder="1" applyAlignment="1">
      <alignment vertical="center"/>
    </xf>
    <xf numFmtId="3" fontId="5" fillId="2" borderId="26" xfId="0" applyNumberFormat="1" applyFont="1" applyFill="1" applyBorder="1" applyAlignment="1">
      <alignment horizontal="center" vertical="center"/>
    </xf>
    <xf numFmtId="0" fontId="0" fillId="6" borderId="70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/>
    </xf>
    <xf numFmtId="0" fontId="0" fillId="0" borderId="71" xfId="0" applyBorder="1" applyAlignment="1"/>
    <xf numFmtId="0" fontId="8" fillId="3" borderId="5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5" fillId="2" borderId="26" xfId="0" applyFont="1" applyFill="1" applyBorder="1" applyAlignment="1" applyProtection="1">
      <alignment vertical="center"/>
      <protection locked="0"/>
    </xf>
    <xf numFmtId="0" fontId="8" fillId="3" borderId="72" xfId="0" applyFont="1" applyFill="1" applyBorder="1" applyAlignment="1"/>
    <xf numFmtId="0" fontId="0" fillId="0" borderId="20" xfId="0" applyBorder="1" applyAlignment="1">
      <alignment vertical="center" wrapText="1"/>
    </xf>
    <xf numFmtId="0" fontId="3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3" borderId="19" xfId="0" applyFill="1" applyBorder="1" applyAlignment="1"/>
    <xf numFmtId="0" fontId="0" fillId="3" borderId="0" xfId="0" applyFill="1" applyBorder="1" applyAlignment="1"/>
    <xf numFmtId="0" fontId="0" fillId="23" borderId="35" xfId="0" applyFill="1" applyBorder="1" applyAlignment="1"/>
    <xf numFmtId="0" fontId="0" fillId="23" borderId="42" xfId="0" applyFill="1" applyBorder="1" applyAlignment="1"/>
    <xf numFmtId="0" fontId="0" fillId="23" borderId="76" xfId="0" applyFill="1" applyBorder="1" applyAlignment="1"/>
    <xf numFmtId="0" fontId="20" fillId="3" borderId="0" xfId="0" applyFont="1" applyFill="1" applyBorder="1" applyAlignment="1" applyProtection="1">
      <alignment horizontal="left" vertical="center"/>
    </xf>
    <xf numFmtId="0" fontId="0" fillId="0" borderId="0" xfId="0" applyBorder="1" applyAlignment="1">
      <alignment horizontal="left" vertical="center"/>
    </xf>
    <xf numFmtId="0" fontId="13" fillId="3" borderId="0" xfId="0" applyFont="1" applyFill="1" applyBorder="1" applyAlignment="1" applyProtection="1">
      <alignment horizontal="left" vertical="center" wrapText="1"/>
    </xf>
    <xf numFmtId="0" fontId="0" fillId="6" borderId="34" xfId="0" applyFill="1" applyBorder="1" applyAlignment="1">
      <alignment vertical="center"/>
    </xf>
    <xf numFmtId="0" fontId="13" fillId="3" borderId="40" xfId="0" applyFont="1" applyFill="1" applyBorder="1" applyAlignment="1" applyProtection="1">
      <alignment horizontal="left" vertical="center" wrapText="1"/>
    </xf>
    <xf numFmtId="0" fontId="0" fillId="6" borderId="40" xfId="0" applyFill="1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27" fillId="6" borderId="0" xfId="0" applyFont="1" applyFill="1" applyAlignment="1">
      <alignment vertical="center" wrapText="1" shrinkToFit="1"/>
    </xf>
    <xf numFmtId="0" fontId="13" fillId="6" borderId="23" xfId="0" applyFont="1" applyFill="1" applyBorder="1" applyAlignment="1" applyProtection="1">
      <alignment horizontal="left" vertical="center" wrapText="1"/>
    </xf>
    <xf numFmtId="0" fontId="13" fillId="6" borderId="71" xfId="0" applyFont="1" applyFill="1" applyBorder="1" applyAlignment="1" applyProtection="1">
      <alignment horizontal="left" vertical="center" wrapText="1"/>
    </xf>
    <xf numFmtId="49" fontId="27" fillId="3" borderId="0" xfId="0" applyNumberFormat="1" applyFont="1" applyFill="1" applyBorder="1" applyAlignment="1">
      <alignment horizontal="center"/>
    </xf>
    <xf numFmtId="49" fontId="28" fillId="3" borderId="0" xfId="0" applyNumberFormat="1" applyFont="1" applyFill="1" applyBorder="1" applyAlignment="1">
      <alignment horizontal="center"/>
    </xf>
    <xf numFmtId="0" fontId="13" fillId="6" borderId="107" xfId="0" applyFont="1" applyFill="1" applyBorder="1" applyAlignment="1">
      <alignment horizontal="left" vertical="center" wrapText="1"/>
    </xf>
    <xf numFmtId="0" fontId="13" fillId="6" borderId="108" xfId="0" applyFont="1" applyFill="1" applyBorder="1" applyAlignment="1">
      <alignment horizontal="left" vertical="center" wrapText="1"/>
    </xf>
    <xf numFmtId="0" fontId="13" fillId="6" borderId="110" xfId="0" applyFont="1" applyFill="1" applyBorder="1" applyAlignment="1">
      <alignment horizontal="left" vertical="center" wrapText="1"/>
    </xf>
    <xf numFmtId="0" fontId="13" fillId="6" borderId="111" xfId="0" applyFont="1" applyFill="1" applyBorder="1" applyAlignment="1">
      <alignment horizontal="left" vertical="center" wrapText="1"/>
    </xf>
    <xf numFmtId="49" fontId="31" fillId="3" borderId="0" xfId="0" applyNumberFormat="1" applyFont="1" applyFill="1" applyAlignment="1">
      <alignment horizontal="left"/>
    </xf>
    <xf numFmtId="2" fontId="70" fillId="3" borderId="0" xfId="0" applyNumberFormat="1" applyFont="1" applyFill="1" applyBorder="1" applyAlignment="1">
      <alignment horizontal="center"/>
    </xf>
    <xf numFmtId="0" fontId="7" fillId="6" borderId="20" xfId="0" applyFont="1" applyFill="1" applyBorder="1" applyAlignment="1" applyProtection="1">
      <alignment horizontal="left" vertical="center" wrapText="1"/>
    </xf>
    <xf numFmtId="0" fontId="13" fillId="6" borderId="20" xfId="0" applyFont="1" applyFill="1" applyBorder="1" applyAlignment="1" applyProtection="1">
      <alignment horizontal="left" vertical="center" wrapText="1"/>
    </xf>
    <xf numFmtId="0" fontId="13" fillId="6" borderId="58" xfId="0" applyFont="1" applyFill="1" applyBorder="1" applyAlignment="1" applyProtection="1">
      <alignment horizontal="left" vertical="center" wrapText="1"/>
    </xf>
    <xf numFmtId="0" fontId="13" fillId="6" borderId="20" xfId="0" applyFont="1" applyFill="1" applyBorder="1" applyAlignment="1">
      <alignment horizontal="left" vertical="center" wrapText="1"/>
    </xf>
    <xf numFmtId="0" fontId="13" fillId="6" borderId="58" xfId="0" applyFont="1" applyFill="1" applyBorder="1" applyAlignment="1">
      <alignment horizontal="left" vertical="center" wrapText="1"/>
    </xf>
    <xf numFmtId="0" fontId="20" fillId="3" borderId="0" xfId="0" applyFont="1" applyFill="1" applyAlignment="1">
      <alignment horizontal="left" vertical="center"/>
    </xf>
    <xf numFmtId="0" fontId="20" fillId="3" borderId="81" xfId="0" applyFont="1" applyFill="1" applyBorder="1" applyAlignment="1">
      <alignment horizontal="left" vertical="center"/>
    </xf>
    <xf numFmtId="0" fontId="0" fillId="0" borderId="72" xfId="0" applyBorder="1"/>
    <xf numFmtId="0" fontId="0" fillId="0" borderId="35" xfId="0" applyBorder="1"/>
    <xf numFmtId="0" fontId="0" fillId="0" borderId="42" xfId="0" applyBorder="1"/>
    <xf numFmtId="0" fontId="13" fillId="3" borderId="33" xfId="0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20" fillId="3" borderId="81" xfId="10" applyFont="1" applyFill="1" applyBorder="1" applyAlignment="1">
      <alignment horizontal="left" vertical="center"/>
    </xf>
    <xf numFmtId="0" fontId="3" fillId="0" borderId="72" xfId="10" applyBorder="1"/>
    <xf numFmtId="0" fontId="3" fillId="0" borderId="35" xfId="10" applyBorder="1"/>
    <xf numFmtId="0" fontId="3" fillId="0" borderId="42" xfId="10" applyBorder="1"/>
    <xf numFmtId="0" fontId="13" fillId="3" borderId="33" xfId="10" applyFont="1" applyFill="1" applyBorder="1" applyAlignment="1">
      <alignment horizontal="center" vertical="center"/>
    </xf>
    <xf numFmtId="0" fontId="3" fillId="0" borderId="6" xfId="10" applyBorder="1" applyAlignment="1">
      <alignment vertical="center"/>
    </xf>
    <xf numFmtId="0" fontId="50" fillId="3" borderId="0" xfId="10" applyFont="1" applyFill="1"/>
    <xf numFmtId="0" fontId="3" fillId="0" borderId="0" xfId="10"/>
    <xf numFmtId="0" fontId="8" fillId="3" borderId="0" xfId="10" applyFont="1" applyFill="1" applyAlignment="1">
      <alignment horizontal="right" vertical="center"/>
    </xf>
    <xf numFmtId="0" fontId="3" fillId="0" borderId="0" xfId="10" applyAlignment="1">
      <alignment horizontal="right" vertical="center"/>
    </xf>
    <xf numFmtId="0" fontId="3" fillId="0" borderId="0" xfId="10" applyAlignment="1">
      <alignment vertical="center"/>
    </xf>
    <xf numFmtId="0" fontId="8" fillId="3" borderId="0" xfId="10" applyFont="1" applyFill="1" applyAlignment="1">
      <alignment wrapText="1" shrinkToFit="1"/>
    </xf>
    <xf numFmtId="0" fontId="13" fillId="3" borderId="0" xfId="10" applyFont="1" applyFill="1" applyAlignment="1">
      <alignment vertical="center" wrapText="1"/>
    </xf>
    <xf numFmtId="0" fontId="3" fillId="0" borderId="0" xfId="10" applyAlignment="1">
      <alignment vertical="center" wrapText="1"/>
    </xf>
    <xf numFmtId="0" fontId="27" fillId="6" borderId="0" xfId="10" applyFont="1" applyFill="1" applyAlignment="1">
      <alignment vertical="center" wrapText="1" shrinkToFit="1"/>
    </xf>
    <xf numFmtId="0" fontId="3" fillId="0" borderId="0" xfId="10" applyAlignment="1">
      <alignment vertical="center" wrapText="1" shrinkToFit="1"/>
    </xf>
    <xf numFmtId="0" fontId="13" fillId="6" borderId="107" xfId="10" applyFont="1" applyFill="1" applyBorder="1" applyAlignment="1">
      <alignment horizontal="left" vertical="center" wrapText="1"/>
    </xf>
    <xf numFmtId="0" fontId="13" fillId="6" borderId="108" xfId="10" applyFont="1" applyFill="1" applyBorder="1" applyAlignment="1">
      <alignment horizontal="left" vertical="center" wrapText="1"/>
    </xf>
    <xf numFmtId="0" fontId="13" fillId="3" borderId="72" xfId="10" applyFont="1" applyFill="1" applyBorder="1" applyAlignment="1">
      <alignment horizontal="center" vertical="center"/>
    </xf>
    <xf numFmtId="2" fontId="36" fillId="3" borderId="0" xfId="10" applyNumberFormat="1" applyFont="1" applyFill="1" applyAlignment="1">
      <alignment horizontal="center"/>
    </xf>
    <xf numFmtId="49" fontId="31" fillId="3" borderId="0" xfId="10" applyNumberFormat="1" applyFont="1" applyFill="1" applyAlignment="1">
      <alignment horizontal="left"/>
    </xf>
    <xf numFmtId="49" fontId="27" fillId="3" borderId="0" xfId="10" applyNumberFormat="1" applyFont="1" applyFill="1" applyAlignment="1">
      <alignment horizontal="center"/>
    </xf>
    <xf numFmtId="49" fontId="28" fillId="3" borderId="0" xfId="10" applyNumberFormat="1" applyFont="1" applyFill="1" applyAlignment="1">
      <alignment horizontal="center"/>
    </xf>
    <xf numFmtId="0" fontId="22" fillId="3" borderId="0" xfId="0" applyFont="1" applyFill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84" fillId="6" borderId="0" xfId="0" applyFont="1" applyFill="1" applyAlignment="1">
      <alignment horizontal="center" vertical="center" wrapText="1" shrinkToFit="1"/>
    </xf>
    <xf numFmtId="0" fontId="85" fillId="0" borderId="0" xfId="0" applyFont="1" applyAlignment="1">
      <alignment horizontal="center" vertical="center" wrapText="1" shrinkToFit="1"/>
    </xf>
    <xf numFmtId="0" fontId="37" fillId="3" borderId="0" xfId="0" applyFont="1" applyFill="1" applyBorder="1" applyAlignment="1" applyProtection="1">
      <alignment horizontal="center" vertical="center"/>
    </xf>
    <xf numFmtId="0" fontId="85" fillId="0" borderId="0" xfId="0" applyFont="1" applyBorder="1" applyAlignment="1">
      <alignment horizontal="center" vertical="center"/>
    </xf>
    <xf numFmtId="0" fontId="37" fillId="3" borderId="0" xfId="0" applyFont="1" applyFill="1" applyBorder="1" applyAlignment="1" applyProtection="1">
      <alignment horizontal="center" vertical="center" wrapText="1"/>
    </xf>
    <xf numFmtId="0" fontId="85" fillId="6" borderId="0" xfId="0" applyFont="1" applyFill="1" applyBorder="1" applyAlignment="1">
      <alignment horizontal="center" vertical="center"/>
    </xf>
    <xf numFmtId="0" fontId="23" fillId="3" borderId="0" xfId="0" applyFont="1" applyFill="1" applyBorder="1" applyAlignment="1" applyProtection="1">
      <alignment horizontal="center" vertical="center" wrapText="1"/>
    </xf>
    <xf numFmtId="0" fontId="4" fillId="6" borderId="0" xfId="0" applyFont="1" applyFill="1" applyBorder="1" applyAlignment="1">
      <alignment horizontal="center" vertical="center"/>
    </xf>
    <xf numFmtId="0" fontId="14" fillId="3" borderId="72" xfId="0" applyFont="1" applyFill="1" applyBorder="1" applyAlignment="1" applyProtection="1">
      <alignment horizontal="left" vertical="center" wrapText="1"/>
    </xf>
    <xf numFmtId="0" fontId="76" fillId="6" borderId="72" xfId="0" applyFont="1" applyFill="1" applyBorder="1" applyAlignment="1">
      <alignment horizontal="left" vertical="center"/>
    </xf>
    <xf numFmtId="0" fontId="13" fillId="3" borderId="0" xfId="0" applyFont="1" applyFill="1" applyBorder="1" applyAlignment="1" applyProtection="1">
      <alignment horizontal="center" vertical="center"/>
    </xf>
    <xf numFmtId="0" fontId="8" fillId="6" borderId="20" xfId="0" applyFont="1" applyFill="1" applyBorder="1" applyAlignment="1" applyProtection="1">
      <alignment horizontal="left" vertical="center" wrapText="1"/>
    </xf>
    <xf numFmtId="0" fontId="8" fillId="6" borderId="58" xfId="0" applyFont="1" applyFill="1" applyBorder="1" applyAlignment="1" applyProtection="1">
      <alignment horizontal="left" vertical="center" wrapText="1"/>
    </xf>
    <xf numFmtId="0" fontId="25" fillId="3" borderId="81" xfId="0" applyFont="1" applyFill="1" applyBorder="1" applyAlignment="1"/>
    <xf numFmtId="0" fontId="0" fillId="0" borderId="73" xfId="0" applyBorder="1" applyAlignment="1"/>
    <xf numFmtId="0" fontId="0" fillId="0" borderId="35" xfId="0" applyBorder="1" applyAlignment="1"/>
    <xf numFmtId="0" fontId="13" fillId="3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5" fillId="2" borderId="3" xfId="0" applyFont="1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 wrapText="1"/>
    </xf>
    <xf numFmtId="0" fontId="73" fillId="7" borderId="0" xfId="0" applyFont="1" applyFill="1" applyAlignment="1" applyProtection="1">
      <alignment horizontal="center"/>
    </xf>
    <xf numFmtId="0" fontId="74" fillId="7" borderId="0" xfId="0" applyFont="1" applyFill="1" applyAlignment="1" applyProtection="1">
      <alignment horizontal="center"/>
    </xf>
    <xf numFmtId="0" fontId="0" fillId="7" borderId="0" xfId="0" applyFill="1" applyAlignment="1" applyProtection="1"/>
    <xf numFmtId="0" fontId="8" fillId="2" borderId="10" xfId="0" applyFont="1" applyFill="1" applyBorder="1" applyAlignment="1">
      <alignment horizontal="center" vertical="center" textRotation="90"/>
    </xf>
    <xf numFmtId="0" fontId="0" fillId="7" borderId="0" xfId="0" applyFill="1" applyAlignment="1"/>
    <xf numFmtId="0" fontId="8" fillId="2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8" fillId="2" borderId="0" xfId="0" applyFont="1" applyFill="1" applyBorder="1" applyAlignment="1" applyProtection="1">
      <alignment horizontal="right" vertical="center"/>
    </xf>
    <xf numFmtId="0" fontId="0" fillId="7" borderId="0" xfId="0" applyFill="1" applyBorder="1" applyAlignment="1" applyProtection="1">
      <alignment horizontal="right" vertical="center"/>
    </xf>
    <xf numFmtId="0" fontId="0" fillId="7" borderId="0" xfId="0" applyFill="1" applyAlignment="1" applyProtection="1">
      <alignment vertical="center"/>
    </xf>
    <xf numFmtId="0" fontId="72" fillId="7" borderId="0" xfId="0" applyFont="1" applyFill="1" applyAlignment="1" applyProtection="1">
      <alignment horizontal="center"/>
    </xf>
    <xf numFmtId="0" fontId="73" fillId="7" borderId="0" xfId="0" applyFont="1" applyFill="1" applyAlignment="1" applyProtection="1"/>
    <xf numFmtId="0" fontId="73" fillId="7" borderId="32" xfId="0" applyFont="1" applyFill="1" applyBorder="1" applyAlignment="1" applyProtection="1"/>
    <xf numFmtId="0" fontId="11" fillId="7" borderId="0" xfId="0" applyFont="1" applyFill="1" applyAlignment="1">
      <alignment vertical="top"/>
    </xf>
    <xf numFmtId="0" fontId="31" fillId="7" borderId="0" xfId="0" applyFont="1" applyFill="1" applyAlignment="1">
      <alignment horizontal="left"/>
    </xf>
    <xf numFmtId="49" fontId="16" fillId="7" borderId="0" xfId="0" applyNumberFormat="1" applyFont="1" applyFill="1" applyAlignment="1">
      <alignment horizontal="center"/>
    </xf>
    <xf numFmtId="0" fontId="70" fillId="7" borderId="0" xfId="0" applyFont="1" applyFill="1" applyAlignment="1">
      <alignment horizontal="center"/>
    </xf>
    <xf numFmtId="0" fontId="69" fillId="0" borderId="0" xfId="0" applyFont="1" applyAlignment="1"/>
    <xf numFmtId="0" fontId="69" fillId="7" borderId="0" xfId="0" applyFont="1" applyFill="1" applyAlignment="1"/>
    <xf numFmtId="0" fontId="31" fillId="7" borderId="0" xfId="0" applyFont="1" applyFill="1"/>
    <xf numFmtId="0" fontId="74" fillId="7" borderId="0" xfId="0" applyFont="1" applyFill="1" applyAlignment="1">
      <alignment horizontal="right" vertical="center"/>
    </xf>
    <xf numFmtId="0" fontId="74" fillId="7" borderId="37" xfId="0" applyFont="1" applyFill="1" applyBorder="1" applyAlignment="1">
      <alignment horizontal="right" vertical="center"/>
    </xf>
    <xf numFmtId="0" fontId="0" fillId="7" borderId="72" xfId="0" applyFill="1" applyBorder="1" applyAlignment="1"/>
    <xf numFmtId="0" fontId="58" fillId="7" borderId="0" xfId="0" applyFont="1" applyFill="1" applyAlignment="1">
      <alignment vertical="center"/>
    </xf>
    <xf numFmtId="0" fontId="58" fillId="7" borderId="0" xfId="0" applyFont="1" applyFill="1" applyAlignment="1">
      <alignment vertical="center" wrapText="1"/>
    </xf>
    <xf numFmtId="0" fontId="0" fillId="7" borderId="26" xfId="0" applyFill="1" applyBorder="1" applyAlignment="1" applyProtection="1">
      <alignment horizontal="center" vertical="center"/>
    </xf>
    <xf numFmtId="0" fontId="0" fillId="7" borderId="71" xfId="0" applyFill="1" applyBorder="1" applyAlignment="1"/>
    <xf numFmtId="0" fontId="0" fillId="7" borderId="37" xfId="0" applyFill="1" applyBorder="1" applyAlignment="1"/>
    <xf numFmtId="0" fontId="72" fillId="7" borderId="0" xfId="0" applyFont="1" applyFill="1" applyAlignment="1">
      <alignment horizontal="center" vertical="center"/>
    </xf>
    <xf numFmtId="0" fontId="6" fillId="3" borderId="0" xfId="10" applyFont="1" applyFill="1" applyAlignment="1">
      <alignment horizontal="center" vertical="center"/>
    </xf>
    <xf numFmtId="0" fontId="3" fillId="0" borderId="0" xfId="10" applyAlignment="1">
      <alignment horizontal="center" vertical="center"/>
    </xf>
    <xf numFmtId="0" fontId="8" fillId="3" borderId="63" xfId="10" applyFont="1" applyFill="1" applyBorder="1" applyAlignment="1">
      <alignment horizontal="center" vertical="center"/>
    </xf>
    <xf numFmtId="0" fontId="8" fillId="3" borderId="96" xfId="10" applyFont="1" applyFill="1" applyBorder="1" applyAlignment="1">
      <alignment horizontal="center" vertical="center"/>
    </xf>
    <xf numFmtId="0" fontId="3" fillId="0" borderId="30" xfId="10" applyBorder="1" applyAlignment="1">
      <alignment horizontal="center" vertical="center"/>
    </xf>
    <xf numFmtId="0" fontId="8" fillId="3" borderId="65" xfId="10" applyFont="1" applyFill="1" applyBorder="1" applyAlignment="1">
      <alignment horizontal="center" vertical="center"/>
    </xf>
    <xf numFmtId="0" fontId="3" fillId="0" borderId="73" xfId="10" applyBorder="1" applyAlignment="1">
      <alignment horizontal="center" vertical="center"/>
    </xf>
    <xf numFmtId="0" fontId="3" fillId="0" borderId="123" xfId="10" applyBorder="1" applyAlignment="1">
      <alignment horizontal="center" vertical="center"/>
    </xf>
    <xf numFmtId="0" fontId="3" fillId="0" borderId="125" xfId="10" applyBorder="1" applyAlignment="1">
      <alignment horizontal="center" vertical="center"/>
    </xf>
    <xf numFmtId="0" fontId="8" fillId="3" borderId="73" xfId="10" applyFont="1" applyFill="1" applyBorder="1" applyAlignment="1">
      <alignment horizontal="center" vertical="center"/>
    </xf>
    <xf numFmtId="0" fontId="11" fillId="6" borderId="33" xfId="10" applyFont="1" applyFill="1" applyBorder="1" applyAlignment="1">
      <alignment horizontal="center" vertical="center" wrapText="1"/>
    </xf>
    <xf numFmtId="0" fontId="3" fillId="0" borderId="70" xfId="10" applyBorder="1" applyAlignment="1">
      <alignment horizontal="center" vertical="center" wrapText="1"/>
    </xf>
    <xf numFmtId="0" fontId="3" fillId="0" borderId="6" xfId="10" applyBorder="1" applyAlignment="1">
      <alignment horizontal="center" vertical="center" wrapText="1"/>
    </xf>
    <xf numFmtId="0" fontId="8" fillId="3" borderId="169" xfId="10" applyFont="1" applyFill="1" applyBorder="1" applyAlignment="1">
      <alignment horizontal="center" vertical="center"/>
    </xf>
    <xf numFmtId="0" fontId="3" fillId="0" borderId="169" xfId="10" applyBorder="1" applyAlignment="1">
      <alignment horizontal="center" vertical="center"/>
    </xf>
    <xf numFmtId="0" fontId="24" fillId="6" borderId="151" xfId="10" applyFont="1" applyFill="1" applyBorder="1" applyAlignment="1">
      <alignment horizontal="center" vertical="center"/>
    </xf>
    <xf numFmtId="0" fontId="3" fillId="0" borderId="168" xfId="10" applyBorder="1" applyAlignment="1">
      <alignment horizontal="center" vertical="center"/>
    </xf>
    <xf numFmtId="0" fontId="3" fillId="0" borderId="170" xfId="10" applyBorder="1" applyAlignment="1">
      <alignment horizontal="center" vertical="center"/>
    </xf>
    <xf numFmtId="0" fontId="5" fillId="2" borderId="169" xfId="10" applyFont="1" applyFill="1" applyBorder="1" applyAlignment="1" applyProtection="1">
      <alignment vertical="center"/>
      <protection locked="0"/>
    </xf>
    <xf numFmtId="0" fontId="3" fillId="0" borderId="169" xfId="10" applyBorder="1" applyAlignment="1" applyProtection="1">
      <alignment vertical="center"/>
      <protection locked="0"/>
    </xf>
    <xf numFmtId="49" fontId="5" fillId="2" borderId="169" xfId="10" applyNumberFormat="1" applyFont="1" applyFill="1" applyBorder="1" applyAlignment="1" applyProtection="1">
      <alignment horizontal="center" vertical="center"/>
      <protection locked="0"/>
    </xf>
    <xf numFmtId="0" fontId="3" fillId="0" borderId="169" xfId="10" applyBorder="1" applyAlignment="1" applyProtection="1">
      <alignment horizontal="center" vertical="center"/>
      <protection locked="0"/>
    </xf>
    <xf numFmtId="0" fontId="5" fillId="3" borderId="3" xfId="10" applyFont="1" applyFill="1" applyBorder="1" applyAlignment="1">
      <alignment vertical="center"/>
    </xf>
    <xf numFmtId="0" fontId="3" fillId="6" borderId="3" xfId="10" applyFill="1" applyBorder="1" applyAlignment="1">
      <alignment vertical="center"/>
    </xf>
    <xf numFmtId="49" fontId="5" fillId="3" borderId="3" xfId="10" applyNumberFormat="1" applyFont="1" applyFill="1" applyBorder="1" applyAlignment="1">
      <alignment horizontal="center" vertical="center"/>
    </xf>
    <xf numFmtId="0" fontId="6" fillId="3" borderId="72" xfId="10" applyFont="1" applyFill="1" applyBorder="1" applyAlignment="1">
      <alignment horizontal="center"/>
    </xf>
    <xf numFmtId="0" fontId="3" fillId="0" borderId="72" xfId="10" applyBorder="1" applyAlignment="1">
      <alignment horizontal="center"/>
    </xf>
    <xf numFmtId="0" fontId="20" fillId="3" borderId="0" xfId="10" applyFont="1" applyFill="1" applyAlignment="1">
      <alignment horizontal="center"/>
    </xf>
    <xf numFmtId="0" fontId="79" fillId="24" borderId="0" xfId="11" applyFont="1" applyFill="1" applyAlignment="1" applyProtection="1">
      <alignment horizontal="left" vertical="center"/>
    </xf>
    <xf numFmtId="0" fontId="126" fillId="24" borderId="0" xfId="11" applyFont="1" applyFill="1" applyAlignment="1" applyProtection="1">
      <alignment horizontal="justify" vertical="center" wrapText="1"/>
    </xf>
    <xf numFmtId="0" fontId="107" fillId="19" borderId="25" xfId="11" applyFont="1" applyFill="1" applyBorder="1" applyAlignment="1" applyProtection="1">
      <alignment horizontal="center"/>
    </xf>
    <xf numFmtId="0" fontId="107" fillId="19" borderId="110" xfId="11" applyFont="1" applyFill="1" applyBorder="1" applyAlignment="1" applyProtection="1">
      <alignment horizontal="center"/>
    </xf>
    <xf numFmtId="0" fontId="0" fillId="0" borderId="110" xfId="0" applyBorder="1" applyAlignment="1">
      <alignment horizontal="center"/>
    </xf>
    <xf numFmtId="0" fontId="126" fillId="19" borderId="0" xfId="11" applyFont="1" applyFill="1" applyAlignment="1" applyProtection="1">
      <alignment horizontal="left"/>
    </xf>
    <xf numFmtId="0" fontId="107" fillId="19" borderId="0" xfId="11" applyFont="1" applyFill="1" applyAlignment="1" applyProtection="1">
      <alignment horizontal="center"/>
    </xf>
    <xf numFmtId="0" fontId="124" fillId="0" borderId="103" xfId="11" applyFont="1" applyFill="1" applyBorder="1" applyAlignment="1" applyProtection="1">
      <alignment horizontal="center" vertical="center"/>
      <protection locked="0"/>
    </xf>
    <xf numFmtId="0" fontId="124" fillId="0" borderId="77" xfId="11" applyFont="1" applyFill="1" applyBorder="1" applyAlignment="1" applyProtection="1">
      <alignment horizontal="center" vertical="center"/>
      <protection locked="0"/>
    </xf>
    <xf numFmtId="0" fontId="124" fillId="0" borderId="104" xfId="11" applyFont="1" applyFill="1" applyBorder="1" applyAlignment="1" applyProtection="1">
      <alignment horizontal="center" vertical="center"/>
      <protection locked="0"/>
    </xf>
    <xf numFmtId="0" fontId="124" fillId="0" borderId="47" xfId="11" applyFont="1" applyFill="1" applyBorder="1" applyAlignment="1" applyProtection="1">
      <alignment horizontal="center" vertical="center"/>
      <protection locked="0"/>
    </xf>
    <xf numFmtId="0" fontId="124" fillId="0" borderId="124" xfId="11" applyFont="1" applyFill="1" applyBorder="1" applyAlignment="1" applyProtection="1">
      <alignment horizontal="center" vertical="center"/>
      <protection locked="0"/>
    </xf>
    <xf numFmtId="0" fontId="124" fillId="0" borderId="42" xfId="11" applyFont="1" applyFill="1" applyBorder="1" applyAlignment="1" applyProtection="1">
      <alignment horizontal="center" vertical="center"/>
      <protection locked="0"/>
    </xf>
    <xf numFmtId="0" fontId="124" fillId="0" borderId="76" xfId="11" applyFont="1" applyFill="1" applyBorder="1" applyAlignment="1" applyProtection="1">
      <alignment horizontal="center" vertical="center"/>
      <protection locked="0"/>
    </xf>
    <xf numFmtId="0" fontId="107" fillId="19" borderId="34" xfId="11" applyFont="1" applyFill="1" applyBorder="1" applyAlignment="1" applyProtection="1">
      <alignment horizontal="center" vertical="center"/>
    </xf>
    <xf numFmtId="0" fontId="107" fillId="19" borderId="0" xfId="11" applyFont="1" applyFill="1" applyAlignment="1" applyProtection="1">
      <alignment horizontal="center" vertical="center"/>
    </xf>
    <xf numFmtId="0" fontId="107" fillId="19" borderId="0" xfId="11" applyFont="1" applyFill="1" applyAlignment="1" applyProtection="1">
      <alignment horizontal="left" vertical="center"/>
    </xf>
    <xf numFmtId="49" fontId="124" fillId="19" borderId="26" xfId="11" applyNumberFormat="1" applyFont="1" applyFill="1" applyBorder="1" applyAlignment="1" applyProtection="1">
      <alignment horizontal="center" vertical="center"/>
      <protection locked="0"/>
    </xf>
    <xf numFmtId="49" fontId="124" fillId="19" borderId="107" xfId="11" applyNumberFormat="1" applyFont="1" applyFill="1" applyBorder="1" applyAlignment="1" applyProtection="1">
      <alignment horizontal="center" vertical="center"/>
      <protection locked="0"/>
    </xf>
    <xf numFmtId="49" fontId="124" fillId="19" borderId="71" xfId="11" applyNumberFormat="1" applyFont="1" applyFill="1" applyBorder="1" applyAlignment="1" applyProtection="1">
      <alignment horizontal="center" vertical="center"/>
      <protection locked="0"/>
    </xf>
    <xf numFmtId="0" fontId="126" fillId="19" borderId="74" xfId="11" applyFont="1" applyFill="1" applyBorder="1" applyAlignment="1" applyProtection="1">
      <alignment horizontal="center"/>
      <protection locked="0"/>
    </xf>
    <xf numFmtId="0" fontId="126" fillId="19" borderId="25" xfId="11" applyFont="1" applyFill="1" applyBorder="1" applyAlignment="1" applyProtection="1">
      <alignment horizontal="center"/>
      <protection locked="0"/>
    </xf>
    <xf numFmtId="0" fontId="126" fillId="19" borderId="75" xfId="11" applyFont="1" applyFill="1" applyBorder="1" applyAlignment="1" applyProtection="1">
      <alignment horizontal="center"/>
      <protection locked="0"/>
    </xf>
    <xf numFmtId="0" fontId="126" fillId="19" borderId="34" xfId="11" applyFont="1" applyFill="1" applyBorder="1" applyAlignment="1" applyProtection="1">
      <alignment horizontal="center"/>
      <protection locked="0"/>
    </xf>
    <xf numFmtId="0" fontId="126" fillId="19" borderId="0" xfId="11" applyFont="1" applyFill="1" applyBorder="1" applyAlignment="1" applyProtection="1">
      <alignment horizontal="center"/>
      <protection locked="0"/>
    </xf>
    <xf numFmtId="0" fontId="126" fillId="19" borderId="37" xfId="11" applyFont="1" applyFill="1" applyBorder="1" applyAlignment="1" applyProtection="1">
      <alignment horizontal="center"/>
      <protection locked="0"/>
    </xf>
    <xf numFmtId="0" fontId="126" fillId="19" borderId="47" xfId="11" applyFont="1" applyFill="1" applyBorder="1" applyAlignment="1" applyProtection="1">
      <alignment horizontal="center"/>
      <protection locked="0"/>
    </xf>
    <xf numFmtId="0" fontId="126" fillId="19" borderId="42" xfId="11" applyFont="1" applyFill="1" applyBorder="1" applyAlignment="1" applyProtection="1">
      <alignment horizontal="center"/>
      <protection locked="0"/>
    </xf>
    <xf numFmtId="0" fontId="126" fillId="19" borderId="76" xfId="11" applyFont="1" applyFill="1" applyBorder="1" applyAlignment="1" applyProtection="1">
      <alignment horizontal="center"/>
      <protection locked="0"/>
    </xf>
    <xf numFmtId="0" fontId="124" fillId="19" borderId="19" xfId="11" applyNumberFormat="1" applyFont="1" applyFill="1" applyBorder="1" applyAlignment="1" applyProtection="1">
      <alignment horizontal="center" vertical="center"/>
    </xf>
    <xf numFmtId="0" fontId="124" fillId="19" borderId="0" xfId="11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32" xfId="0" applyBorder="1" applyAlignment="1" applyProtection="1">
      <alignment vertical="center"/>
    </xf>
    <xf numFmtId="0" fontId="124" fillId="19" borderId="8" xfId="11" applyFont="1" applyFill="1" applyBorder="1" applyAlignment="1" applyProtection="1">
      <alignment horizontal="left" vertical="center"/>
      <protection locked="0"/>
    </xf>
    <xf numFmtId="0" fontId="124" fillId="19" borderId="107" xfId="11" applyFont="1" applyFill="1" applyBorder="1" applyAlignment="1" applyProtection="1">
      <alignment horizontal="left" vertical="center"/>
      <protection locked="0"/>
    </xf>
    <xf numFmtId="0" fontId="68" fillId="0" borderId="107" xfId="0" applyFont="1" applyBorder="1" applyAlignment="1" applyProtection="1">
      <alignment vertical="center"/>
      <protection locked="0"/>
    </xf>
    <xf numFmtId="0" fontId="68" fillId="0" borderId="43" xfId="0" applyFont="1" applyBorder="1" applyAlignment="1" applyProtection="1">
      <alignment vertical="center"/>
      <protection locked="0"/>
    </xf>
    <xf numFmtId="0" fontId="107" fillId="19" borderId="0" xfId="11" applyFont="1" applyFill="1" applyBorder="1" applyAlignment="1">
      <alignment horizontal="center"/>
    </xf>
    <xf numFmtId="0" fontId="107" fillId="19" borderId="40" xfId="11" applyFont="1" applyFill="1" applyBorder="1" applyAlignment="1" applyProtection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14" fontId="124" fillId="19" borderId="26" xfId="11" applyNumberFormat="1" applyFont="1" applyFill="1" applyBorder="1" applyAlignment="1" applyProtection="1">
      <alignment horizontal="center" vertical="center"/>
      <protection locked="0"/>
    </xf>
    <xf numFmtId="14" fontId="124" fillId="19" borderId="71" xfId="11" applyNumberFormat="1" applyFont="1" applyFill="1" applyBorder="1" applyAlignment="1" applyProtection="1">
      <alignment horizontal="center" vertical="center"/>
      <protection locked="0"/>
    </xf>
    <xf numFmtId="0" fontId="107" fillId="19" borderId="0" xfId="11" applyFont="1" applyFill="1" applyBorder="1" applyAlignment="1" applyProtection="1">
      <alignment horizontal="center"/>
    </xf>
    <xf numFmtId="0" fontId="125" fillId="19" borderId="0" xfId="11" applyFont="1" applyFill="1" applyAlignment="1" applyProtection="1">
      <alignment horizontal="left" vertical="center"/>
    </xf>
    <xf numFmtId="14" fontId="124" fillId="19" borderId="83" xfId="11" applyNumberFormat="1" applyFont="1" applyFill="1" applyBorder="1" applyAlignment="1" applyProtection="1">
      <alignment horizontal="center" vertical="center"/>
      <protection locked="0"/>
    </xf>
    <xf numFmtId="0" fontId="124" fillId="19" borderId="83" xfId="11" applyFont="1" applyFill="1" applyBorder="1" applyAlignment="1" applyProtection="1">
      <alignment horizontal="center" vertical="center"/>
      <protection locked="0"/>
    </xf>
    <xf numFmtId="0" fontId="107" fillId="19" borderId="42" xfId="11" applyFont="1" applyFill="1" applyBorder="1" applyAlignment="1" applyProtection="1">
      <alignment horizontal="left" vertical="center"/>
    </xf>
    <xf numFmtId="0" fontId="107" fillId="19" borderId="124" xfId="11" applyFont="1" applyFill="1" applyBorder="1" applyAlignment="1" applyProtection="1">
      <alignment horizontal="left" vertical="center"/>
    </xf>
    <xf numFmtId="167" fontId="124" fillId="19" borderId="26" xfId="11" applyNumberFormat="1" applyFont="1" applyFill="1" applyBorder="1" applyAlignment="1" applyProtection="1">
      <alignment horizontal="center" vertical="center"/>
      <protection locked="0"/>
    </xf>
    <xf numFmtId="167" fontId="124" fillId="19" borderId="71" xfId="11" applyNumberFormat="1" applyFont="1" applyFill="1" applyBorder="1" applyAlignment="1" applyProtection="1">
      <alignment horizontal="center" vertical="center"/>
      <protection locked="0"/>
    </xf>
    <xf numFmtId="0" fontId="124" fillId="0" borderId="101" xfId="11" applyFont="1" applyFill="1" applyBorder="1" applyAlignment="1" applyProtection="1">
      <alignment horizontal="center" vertical="center"/>
      <protection locked="0"/>
    </xf>
    <xf numFmtId="0" fontId="124" fillId="0" borderId="85" xfId="11" applyFont="1" applyFill="1" applyBorder="1" applyAlignment="1" applyProtection="1">
      <alignment horizontal="center" vertical="center"/>
      <protection locked="0"/>
    </xf>
    <xf numFmtId="0" fontId="124" fillId="0" borderId="102" xfId="11" applyFont="1" applyFill="1" applyBorder="1" applyAlignment="1" applyProtection="1">
      <alignment horizontal="center" vertical="center"/>
      <protection locked="0"/>
    </xf>
    <xf numFmtId="49" fontId="124" fillId="19" borderId="8" xfId="11" applyNumberFormat="1" applyFont="1" applyFill="1" applyBorder="1" applyAlignment="1" applyProtection="1">
      <alignment horizontal="left" vertical="center"/>
      <protection locked="0"/>
    </xf>
    <xf numFmtId="49" fontId="124" fillId="19" borderId="107" xfId="11" applyNumberFormat="1" applyFont="1" applyFill="1" applyBorder="1" applyAlignment="1" applyProtection="1">
      <alignment horizontal="left" vertical="center"/>
      <protection locked="0"/>
    </xf>
    <xf numFmtId="49" fontId="124" fillId="19" borderId="43" xfId="11" applyNumberFormat="1" applyFont="1" applyFill="1" applyBorder="1" applyAlignment="1" applyProtection="1">
      <alignment horizontal="left" vertical="center"/>
      <protection locked="0"/>
    </xf>
    <xf numFmtId="0" fontId="107" fillId="19" borderId="0" xfId="11" applyFont="1" applyFill="1" applyBorder="1" applyAlignment="1" applyProtection="1">
      <alignment horizontal="center" vertical="center"/>
    </xf>
    <xf numFmtId="0" fontId="123" fillId="19" borderId="0" xfId="11" applyFont="1" applyFill="1" applyAlignment="1" applyProtection="1">
      <alignment horizontal="center" vertical="center"/>
    </xf>
    <xf numFmtId="49" fontId="125" fillId="19" borderId="8" xfId="11" applyNumberFormat="1" applyFont="1" applyFill="1" applyBorder="1" applyAlignment="1" applyProtection="1">
      <alignment horizontal="left" vertical="center"/>
      <protection locked="0"/>
    </xf>
    <xf numFmtId="49" fontId="125" fillId="19" borderId="107" xfId="11" applyNumberFormat="1" applyFont="1" applyFill="1" applyBorder="1" applyAlignment="1" applyProtection="1">
      <alignment horizontal="left" vertical="center"/>
      <protection locked="0"/>
    </xf>
    <xf numFmtId="49" fontId="125" fillId="19" borderId="43" xfId="11" applyNumberFormat="1" applyFont="1" applyFill="1" applyBorder="1" applyAlignment="1" applyProtection="1">
      <alignment horizontal="left" vertical="center"/>
      <protection locked="0"/>
    </xf>
    <xf numFmtId="0" fontId="107" fillId="19" borderId="81" xfId="11" applyFont="1" applyFill="1" applyBorder="1" applyAlignment="1" applyProtection="1">
      <alignment horizontal="left" vertical="center"/>
    </xf>
    <xf numFmtId="0" fontId="107" fillId="19" borderId="72" xfId="11" applyFont="1" applyFill="1" applyBorder="1" applyAlignment="1" applyProtection="1">
      <alignment horizontal="left" vertical="center"/>
    </xf>
    <xf numFmtId="0" fontId="0" fillId="0" borderId="78" xfId="0" applyBorder="1" applyAlignment="1">
      <alignment vertical="center"/>
    </xf>
    <xf numFmtId="0" fontId="107" fillId="19" borderId="19" xfId="11" applyFont="1" applyFill="1" applyBorder="1" applyAlignment="1" applyProtection="1">
      <alignment horizontal="left" vertical="center"/>
    </xf>
    <xf numFmtId="0" fontId="107" fillId="19" borderId="0" xfId="11" applyFont="1" applyFill="1" applyBorder="1" applyAlignment="1" applyProtection="1">
      <alignment horizontal="left" vertical="center"/>
    </xf>
    <xf numFmtId="0" fontId="107" fillId="19" borderId="32" xfId="11" applyFont="1" applyFill="1" applyBorder="1" applyAlignment="1" applyProtection="1">
      <alignment horizontal="left" vertical="center"/>
    </xf>
    <xf numFmtId="0" fontId="122" fillId="19" borderId="0" xfId="11" applyFont="1" applyFill="1" applyAlignment="1" applyProtection="1">
      <alignment horizontal="center" vertical="center"/>
    </xf>
    <xf numFmtId="0" fontId="107" fillId="19" borderId="0" xfId="11" applyFont="1" applyFill="1" applyAlignment="1" applyProtection="1">
      <alignment horizontal="left"/>
    </xf>
    <xf numFmtId="0" fontId="107" fillId="19" borderId="0" xfId="11" applyFont="1" applyFill="1" applyBorder="1" applyAlignment="1" applyProtection="1">
      <alignment horizontal="left"/>
    </xf>
    <xf numFmtId="0" fontId="107" fillId="19" borderId="126" xfId="11" applyFont="1" applyFill="1" applyBorder="1" applyAlignment="1" applyProtection="1">
      <alignment horizontal="left" vertical="center"/>
    </xf>
    <xf numFmtId="0" fontId="0" fillId="0" borderId="110" xfId="0" applyBorder="1" applyAlignment="1" applyProtection="1">
      <alignment vertical="center"/>
    </xf>
    <xf numFmtId="0" fontId="68" fillId="0" borderId="107" xfId="0" applyFont="1" applyBorder="1" applyAlignment="1">
      <alignment vertical="center"/>
    </xf>
    <xf numFmtId="0" fontId="68" fillId="0" borderId="71" xfId="0" applyFont="1" applyBorder="1" applyAlignment="1">
      <alignment vertical="center"/>
    </xf>
    <xf numFmtId="49" fontId="124" fillId="19" borderId="79" xfId="11" applyNumberFormat="1" applyFont="1" applyFill="1" applyBorder="1" applyAlignment="1" applyProtection="1">
      <alignment horizontal="left" vertical="center"/>
    </xf>
    <xf numFmtId="49" fontId="124" fillId="19" borderId="40" xfId="11" applyNumberFormat="1" applyFont="1" applyFill="1" applyBorder="1" applyAlignment="1" applyProtection="1">
      <alignment horizontal="left" vertical="center"/>
    </xf>
    <xf numFmtId="0" fontId="0" fillId="0" borderId="40" xfId="0" applyBorder="1" applyAlignment="1" applyProtection="1">
      <alignment vertical="center"/>
    </xf>
    <xf numFmtId="0" fontId="0" fillId="0" borderId="80" xfId="0" applyBorder="1" applyAlignment="1" applyProtection="1">
      <alignment vertical="center"/>
    </xf>
    <xf numFmtId="0" fontId="107" fillId="19" borderId="0" xfId="11" applyFont="1" applyFill="1" applyBorder="1" applyAlignment="1" applyProtection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124" fillId="19" borderId="8" xfId="11" applyFont="1" applyFill="1" applyBorder="1" applyAlignment="1" applyProtection="1">
      <alignment horizontal="left" vertical="center"/>
    </xf>
    <xf numFmtId="0" fontId="124" fillId="19" borderId="107" xfId="11" applyFont="1" applyFill="1" applyBorder="1" applyAlignment="1" applyProtection="1">
      <alignment horizontal="left" vertical="center"/>
    </xf>
    <xf numFmtId="0" fontId="68" fillId="0" borderId="107" xfId="0" applyFont="1" applyBorder="1" applyAlignment="1" applyProtection="1">
      <alignment vertical="center"/>
    </xf>
    <xf numFmtId="0" fontId="68" fillId="0" borderId="71" xfId="0" applyFont="1" applyBorder="1" applyAlignment="1" applyProtection="1">
      <alignment vertical="center"/>
    </xf>
    <xf numFmtId="0" fontId="0" fillId="0" borderId="72" xfId="0" applyBorder="1" applyAlignment="1" applyProtection="1">
      <alignment vertical="center"/>
    </xf>
    <xf numFmtId="2" fontId="124" fillId="19" borderId="26" xfId="11" applyNumberFormat="1" applyFont="1" applyFill="1" applyBorder="1" applyAlignment="1" applyProtection="1">
      <alignment horizontal="left" vertical="center"/>
    </xf>
    <xf numFmtId="0" fontId="0" fillId="0" borderId="43" xfId="0" applyBorder="1" applyAlignment="1" applyProtection="1">
      <alignment horizontal="left" vertical="center"/>
    </xf>
    <xf numFmtId="0" fontId="107" fillId="19" borderId="5" xfId="11" applyFont="1" applyFill="1" applyBorder="1" applyAlignment="1" applyProtection="1">
      <alignment horizontal="left" vertical="center"/>
    </xf>
    <xf numFmtId="0" fontId="107" fillId="19" borderId="24" xfId="11" applyFont="1" applyFill="1" applyBorder="1" applyAlignment="1" applyProtection="1">
      <alignment horizontal="left" vertical="center"/>
    </xf>
    <xf numFmtId="0" fontId="0" fillId="0" borderId="24" xfId="0" applyBorder="1" applyAlignment="1" applyProtection="1">
      <alignment vertical="center"/>
    </xf>
    <xf numFmtId="0" fontId="0" fillId="0" borderId="44" xfId="0" applyBorder="1" applyAlignment="1" applyProtection="1">
      <alignment vertical="center"/>
    </xf>
    <xf numFmtId="2" fontId="107" fillId="19" borderId="22" xfId="11" applyNumberFormat="1" applyFont="1" applyFill="1" applyBorder="1" applyAlignment="1" applyProtection="1">
      <alignment horizontal="left" vertical="center"/>
    </xf>
    <xf numFmtId="2" fontId="107" fillId="19" borderId="6" xfId="11" applyNumberFormat="1" applyFont="1" applyFill="1" applyBorder="1" applyAlignment="1" applyProtection="1">
      <alignment horizontal="left" vertical="center"/>
    </xf>
    <xf numFmtId="0" fontId="124" fillId="19" borderId="8" xfId="11" applyNumberFormat="1" applyFont="1" applyFill="1" applyBorder="1" applyAlignment="1" applyProtection="1">
      <alignment horizontal="left" vertical="center"/>
      <protection locked="0"/>
    </xf>
    <xf numFmtId="0" fontId="124" fillId="19" borderId="107" xfId="11" applyNumberFormat="1" applyFont="1" applyFill="1" applyBorder="1" applyAlignment="1" applyProtection="1">
      <alignment horizontal="left" vertical="center"/>
      <protection locked="0"/>
    </xf>
    <xf numFmtId="0" fontId="124" fillId="19" borderId="71" xfId="11" applyNumberFormat="1" applyFont="1" applyFill="1" applyBorder="1" applyAlignment="1" applyProtection="1">
      <alignment horizontal="left" vertical="center"/>
      <protection locked="0"/>
    </xf>
    <xf numFmtId="0" fontId="107" fillId="19" borderId="110" xfId="11" applyFont="1" applyFill="1" applyBorder="1" applyAlignment="1" applyProtection="1">
      <alignment horizontal="left" vertical="center"/>
    </xf>
    <xf numFmtId="0" fontId="0" fillId="0" borderId="110" xfId="0" applyBorder="1" applyAlignment="1">
      <alignment vertical="center"/>
    </xf>
    <xf numFmtId="0" fontId="0" fillId="0" borderId="32" xfId="0" applyBorder="1" applyAlignment="1">
      <alignment vertical="center"/>
    </xf>
    <xf numFmtId="0" fontId="124" fillId="19" borderId="26" xfId="11" applyFont="1" applyFill="1" applyBorder="1" applyAlignment="1" applyProtection="1">
      <alignment horizontal="left" vertical="center"/>
      <protection locked="0"/>
    </xf>
    <xf numFmtId="0" fontId="125" fillId="19" borderId="0" xfId="11" applyFont="1" applyFill="1" applyAlignment="1">
      <alignment horizontal="center" vertical="center"/>
    </xf>
    <xf numFmtId="0" fontId="107" fillId="19" borderId="0" xfId="11" applyFont="1" applyFill="1" applyAlignment="1">
      <alignment horizontal="center" vertical="center"/>
    </xf>
    <xf numFmtId="0" fontId="124" fillId="19" borderId="0" xfId="11" applyFont="1" applyFill="1" applyBorder="1" applyAlignment="1" applyProtection="1">
      <alignment horizontal="center" vertical="center"/>
      <protection locked="0"/>
    </xf>
    <xf numFmtId="0" fontId="1" fillId="19" borderId="0" xfId="11" applyFill="1" applyAlignment="1">
      <alignment horizontal="center" vertical="center"/>
    </xf>
    <xf numFmtId="0" fontId="124" fillId="19" borderId="83" xfId="11" applyNumberFormat="1" applyFont="1" applyFill="1" applyBorder="1" applyAlignment="1" applyProtection="1">
      <alignment horizontal="center" vertical="center"/>
      <protection locked="0"/>
    </xf>
    <xf numFmtId="0" fontId="1" fillId="19" borderId="0" xfId="1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7" borderId="0" xfId="0" applyFont="1" applyFill="1"/>
    <xf numFmtId="0" fontId="79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3" fillId="7" borderId="42" xfId="0" applyFont="1" applyFill="1" applyBorder="1"/>
    <xf numFmtId="0" fontId="2" fillId="7" borderId="26" xfId="0" applyFont="1" applyFill="1" applyBorder="1" applyAlignment="1">
      <alignment vertical="center"/>
    </xf>
    <xf numFmtId="0" fontId="2" fillId="7" borderId="23" xfId="0" applyFont="1" applyFill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11" fillId="7" borderId="121" xfId="0" applyFont="1" applyFill="1" applyBorder="1" applyAlignment="1">
      <alignment vertical="center"/>
    </xf>
    <xf numFmtId="0" fontId="11" fillId="7" borderId="0" xfId="0" applyFont="1" applyFill="1" applyAlignment="1">
      <alignment vertical="center"/>
    </xf>
    <xf numFmtId="0" fontId="11" fillId="7" borderId="107" xfId="0" applyFont="1" applyFill="1" applyBorder="1" applyAlignment="1">
      <alignment vertical="center"/>
    </xf>
    <xf numFmtId="0" fontId="0" fillId="0" borderId="107" xfId="0" applyBorder="1" applyAlignment="1">
      <alignment vertical="center"/>
    </xf>
    <xf numFmtId="0" fontId="11" fillId="2" borderId="110" xfId="0" applyFont="1" applyFill="1" applyBorder="1" applyAlignment="1">
      <alignment vertical="center"/>
    </xf>
    <xf numFmtId="0" fontId="11" fillId="0" borderId="110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3" fillId="7" borderId="122" xfId="0" applyFont="1" applyFill="1" applyBorder="1"/>
    <xf numFmtId="0" fontId="3" fillId="7" borderId="121" xfId="0" applyFont="1" applyFill="1" applyBorder="1"/>
    <xf numFmtId="0" fontId="3" fillId="2" borderId="0" xfId="0" applyFont="1" applyFill="1"/>
    <xf numFmtId="0" fontId="3" fillId="2" borderId="122" xfId="0" applyFont="1" applyFill="1" applyBorder="1"/>
    <xf numFmtId="0" fontId="58" fillId="2" borderId="121" xfId="0" applyFont="1" applyFill="1" applyBorder="1" applyAlignment="1">
      <alignment horizontal="right"/>
    </xf>
    <xf numFmtId="0" fontId="58" fillId="2" borderId="0" xfId="0" applyFont="1" applyFill="1" applyAlignment="1">
      <alignment horizontal="right"/>
    </xf>
    <xf numFmtId="0" fontId="58" fillId="7" borderId="124" xfId="0" applyFont="1" applyFill="1" applyBorder="1" applyAlignment="1">
      <alignment vertical="center"/>
    </xf>
    <xf numFmtId="0" fontId="58" fillId="7" borderId="100" xfId="0" applyFont="1" applyFill="1" applyBorder="1" applyAlignment="1">
      <alignment vertical="center"/>
    </xf>
    <xf numFmtId="0" fontId="2" fillId="2" borderId="100" xfId="0" applyFont="1" applyFill="1" applyBorder="1" applyAlignment="1">
      <alignment vertical="center"/>
    </xf>
    <xf numFmtId="0" fontId="2" fillId="0" borderId="100" xfId="0" applyFont="1" applyBorder="1" applyAlignment="1">
      <alignment vertical="center"/>
    </xf>
    <xf numFmtId="0" fontId="3" fillId="7" borderId="26" xfId="0" applyFont="1" applyFill="1" applyBorder="1" applyAlignment="1" applyProtection="1">
      <alignment horizontal="left" vertical="center"/>
      <protection locked="0"/>
    </xf>
    <xf numFmtId="0" fontId="3" fillId="7" borderId="23" xfId="0" applyFont="1" applyFill="1" applyBorder="1" applyAlignment="1" applyProtection="1">
      <alignment horizontal="left" vertical="center"/>
      <protection locked="0"/>
    </xf>
    <xf numFmtId="0" fontId="3" fillId="7" borderId="71" xfId="0" applyFont="1" applyFill="1" applyBorder="1" applyAlignment="1" applyProtection="1">
      <alignment horizontal="left" vertical="center"/>
      <protection locked="0"/>
    </xf>
    <xf numFmtId="1" fontId="2" fillId="7" borderId="97" xfId="0" applyNumberFormat="1" applyFont="1" applyFill="1" applyBorder="1" applyAlignment="1" applyProtection="1">
      <alignment horizontal="left" vertical="center"/>
      <protection locked="0"/>
    </xf>
    <xf numFmtId="1" fontId="2" fillId="7" borderId="98" xfId="0" applyNumberFormat="1" applyFont="1" applyFill="1" applyBorder="1" applyAlignment="1" applyProtection="1">
      <alignment horizontal="left" vertical="center"/>
      <protection locked="0"/>
    </xf>
    <xf numFmtId="1" fontId="2" fillId="2" borderId="98" xfId="0" applyNumberFormat="1" applyFont="1" applyFill="1" applyBorder="1" applyAlignment="1" applyProtection="1">
      <alignment horizontal="left" vertical="center"/>
      <protection locked="0"/>
    </xf>
    <xf numFmtId="1" fontId="2" fillId="0" borderId="98" xfId="0" applyNumberFormat="1" applyFont="1" applyBorder="1" applyAlignment="1" applyProtection="1">
      <alignment horizontal="left" vertical="center"/>
      <protection locked="0"/>
    </xf>
    <xf numFmtId="1" fontId="2" fillId="0" borderId="99" xfId="0" applyNumberFormat="1" applyFont="1" applyBorder="1" applyAlignment="1" applyProtection="1">
      <alignment horizontal="left" vertical="center"/>
      <protection locked="0"/>
    </xf>
    <xf numFmtId="166" fontId="3" fillId="7" borderId="26" xfId="0" applyNumberFormat="1" applyFont="1" applyFill="1" applyBorder="1" applyAlignment="1" applyProtection="1">
      <alignment horizontal="left" vertical="center"/>
      <protection locked="0"/>
    </xf>
    <xf numFmtId="166" fontId="0" fillId="0" borderId="71" xfId="0" applyNumberFormat="1" applyBorder="1" applyAlignment="1" applyProtection="1">
      <alignment horizontal="left" vertical="center"/>
      <protection locked="0"/>
    </xf>
    <xf numFmtId="0" fontId="3" fillId="7" borderId="26" xfId="0" applyFont="1" applyFill="1" applyBorder="1" applyAlignment="1">
      <alignment horizontal="left" vertical="center"/>
    </xf>
    <xf numFmtId="0" fontId="0" fillId="0" borderId="107" xfId="0" applyBorder="1" applyAlignment="1">
      <alignment horizontal="left" vertical="center"/>
    </xf>
    <xf numFmtId="0" fontId="0" fillId="0" borderId="71" xfId="0" applyBorder="1" applyAlignment="1">
      <alignment horizontal="left" vertical="center"/>
    </xf>
    <xf numFmtId="49" fontId="3" fillId="7" borderId="26" xfId="0" applyNumberFormat="1" applyFont="1" applyFill="1" applyBorder="1" applyAlignment="1">
      <alignment vertical="center"/>
    </xf>
    <xf numFmtId="0" fontId="11" fillId="7" borderId="26" xfId="0" applyFont="1" applyFill="1" applyBorder="1" applyAlignment="1">
      <alignment vertical="center"/>
    </xf>
    <xf numFmtId="0" fontId="11" fillId="7" borderId="124" xfId="0" applyFont="1" applyFill="1" applyBorder="1" applyAlignment="1">
      <alignment vertical="center"/>
    </xf>
    <xf numFmtId="0" fontId="0" fillId="0" borderId="124" xfId="0" applyBorder="1" applyAlignment="1">
      <alignment vertical="center"/>
    </xf>
    <xf numFmtId="0" fontId="11" fillId="7" borderId="110" xfId="0" applyFont="1" applyFill="1" applyBorder="1" applyAlignment="1">
      <alignment vertical="center"/>
    </xf>
    <xf numFmtId="49" fontId="2" fillId="7" borderId="26" xfId="0" applyNumberFormat="1" applyFont="1" applyFill="1" applyBorder="1" applyAlignment="1">
      <alignment vertical="center"/>
    </xf>
    <xf numFmtId="49" fontId="2" fillId="7" borderId="107" xfId="0" applyNumberFormat="1" applyFont="1" applyFill="1" applyBorder="1" applyAlignment="1">
      <alignment vertical="center"/>
    </xf>
    <xf numFmtId="0" fontId="2" fillId="7" borderId="71" xfId="0" applyFont="1" applyFill="1" applyBorder="1" applyAlignment="1">
      <alignment vertical="center"/>
    </xf>
    <xf numFmtId="0" fontId="2" fillId="7" borderId="107" xfId="0" applyFont="1" applyFill="1" applyBorder="1" applyAlignment="1">
      <alignment vertical="center"/>
    </xf>
    <xf numFmtId="0" fontId="2" fillId="2" borderId="107" xfId="0" applyFont="1" applyFill="1" applyBorder="1" applyAlignment="1">
      <alignment vertical="center"/>
    </xf>
    <xf numFmtId="0" fontId="3" fillId="7" borderId="26" xfId="0" applyFont="1" applyFill="1" applyBorder="1" applyAlignment="1" applyProtection="1">
      <alignment vertical="center"/>
      <protection locked="0"/>
    </xf>
    <xf numFmtId="0" fontId="0" fillId="0" borderId="107" xfId="0" applyBorder="1" applyAlignment="1" applyProtection="1">
      <alignment vertical="center"/>
      <protection locked="0"/>
    </xf>
    <xf numFmtId="0" fontId="3" fillId="2" borderId="26" xfId="0" applyFont="1" applyFill="1" applyBorder="1" applyAlignment="1">
      <alignment horizontal="center" vertical="center"/>
    </xf>
    <xf numFmtId="0" fontId="11" fillId="2" borderId="124" xfId="0" applyFont="1" applyFill="1" applyBorder="1" applyAlignment="1">
      <alignment horizontal="left" vertical="center"/>
    </xf>
    <xf numFmtId="0" fontId="0" fillId="0" borderId="125" xfId="0" applyBorder="1" applyAlignment="1">
      <alignment vertical="center"/>
    </xf>
    <xf numFmtId="0" fontId="3" fillId="7" borderId="109" xfId="0" applyFont="1" applyFill="1" applyBorder="1" applyAlignment="1">
      <alignment vertical="center"/>
    </xf>
    <xf numFmtId="0" fontId="0" fillId="0" borderId="111" xfId="0" applyBorder="1" applyAlignment="1">
      <alignment vertical="center"/>
    </xf>
    <xf numFmtId="0" fontId="58" fillId="7" borderId="121" xfId="0" applyFont="1" applyFill="1" applyBorder="1" applyAlignment="1">
      <alignment vertical="center"/>
    </xf>
    <xf numFmtId="0" fontId="2" fillId="7" borderId="62" xfId="0" applyFont="1" applyFill="1" applyBorder="1" applyAlignment="1">
      <alignment vertical="center"/>
    </xf>
    <xf numFmtId="0" fontId="58" fillId="7" borderId="61" xfId="0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2" fillId="2" borderId="37" xfId="0" applyFont="1" applyFill="1" applyBorder="1" applyAlignment="1">
      <alignment vertical="center"/>
    </xf>
    <xf numFmtId="0" fontId="11" fillId="7" borderId="34" xfId="0" applyFont="1" applyFill="1" applyBorder="1" applyAlignment="1">
      <alignment vertical="center"/>
    </xf>
    <xf numFmtId="49" fontId="58" fillId="7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3" fillId="2" borderId="37" xfId="0" applyNumberFormat="1" applyFont="1" applyFill="1" applyBorder="1" applyAlignment="1">
      <alignment horizontal="center" vertical="center"/>
    </xf>
    <xf numFmtId="0" fontId="0" fillId="0" borderId="107" xfId="0" applyBorder="1" applyAlignment="1" applyProtection="1">
      <alignment horizontal="left" vertical="center"/>
      <protection locked="0"/>
    </xf>
    <xf numFmtId="0" fontId="0" fillId="0" borderId="71" xfId="0" applyBorder="1" applyAlignment="1" applyProtection="1">
      <alignment horizontal="left" vertical="center"/>
      <protection locked="0"/>
    </xf>
    <xf numFmtId="3" fontId="3" fillId="2" borderId="26" xfId="0" applyNumberFormat="1" applyFont="1" applyFill="1" applyBorder="1" applyAlignment="1" applyProtection="1">
      <alignment horizontal="center" vertical="center"/>
      <protection locked="0"/>
    </xf>
    <xf numFmtId="0" fontId="3" fillId="7" borderId="121" xfId="0" applyFont="1" applyFill="1" applyBorder="1" applyAlignment="1">
      <alignment vertical="center"/>
    </xf>
    <xf numFmtId="0" fontId="3" fillId="7" borderId="0" xfId="0" applyFont="1" applyFill="1" applyAlignment="1">
      <alignment vertical="center"/>
    </xf>
    <xf numFmtId="0" fontId="3" fillId="7" borderId="122" xfId="0" applyFont="1" applyFill="1" applyBorder="1" applyAlignment="1">
      <alignment vertical="center"/>
    </xf>
    <xf numFmtId="0" fontId="58" fillId="7" borderId="34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123" xfId="0" applyBorder="1" applyAlignment="1">
      <alignment vertical="top" wrapText="1"/>
    </xf>
    <xf numFmtId="0" fontId="0" fillId="0" borderId="124" xfId="0" applyBorder="1" applyAlignment="1">
      <alignment vertical="top" wrapText="1"/>
    </xf>
    <xf numFmtId="0" fontId="3" fillId="7" borderId="124" xfId="0" applyFont="1" applyFill="1" applyBorder="1" applyAlignment="1">
      <alignment vertical="center"/>
    </xf>
    <xf numFmtId="0" fontId="58" fillId="7" borderId="34" xfId="0" applyFont="1" applyFill="1" applyBorder="1" applyAlignment="1">
      <alignment vertical="center" wrapText="1"/>
    </xf>
    <xf numFmtId="0" fontId="2" fillId="2" borderId="0" xfId="0" applyFont="1" applyFill="1" applyAlignment="1">
      <alignment vertical="center"/>
    </xf>
    <xf numFmtId="0" fontId="11" fillId="7" borderId="34" xfId="0" applyFont="1" applyFill="1" applyBorder="1" applyAlignment="1">
      <alignment vertical="center" wrapText="1"/>
    </xf>
    <xf numFmtId="0" fontId="11" fillId="7" borderId="0" xfId="0" applyFont="1" applyFill="1" applyAlignment="1">
      <alignment vertical="center" wrapText="1"/>
    </xf>
    <xf numFmtId="0" fontId="3" fillId="7" borderId="34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58" fillId="7" borderId="34" xfId="0" applyFont="1" applyFill="1" applyBorder="1" applyAlignment="1">
      <alignment vertical="center"/>
    </xf>
    <xf numFmtId="49" fontId="3" fillId="2" borderId="122" xfId="0" applyNumberFormat="1" applyFont="1" applyFill="1" applyBorder="1" applyAlignment="1">
      <alignment horizontal="center" vertical="center"/>
    </xf>
    <xf numFmtId="0" fontId="11" fillId="7" borderId="123" xfId="0" applyFont="1" applyFill="1" applyBorder="1" applyAlignment="1">
      <alignment vertical="center"/>
    </xf>
    <xf numFmtId="4" fontId="3" fillId="7" borderId="26" xfId="0" applyNumberFormat="1" applyFont="1" applyFill="1" applyBorder="1" applyAlignment="1" applyProtection="1">
      <alignment vertical="center"/>
      <protection locked="0"/>
    </xf>
    <xf numFmtId="3" fontId="2" fillId="7" borderId="34" xfId="0" applyNumberFormat="1" applyFont="1" applyFill="1" applyBorder="1" applyAlignment="1">
      <alignment vertical="center"/>
    </xf>
    <xf numFmtId="0" fontId="58" fillId="0" borderId="34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37" xfId="0" applyFont="1" applyBorder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0" fontId="11" fillId="7" borderId="0" xfId="0" applyFont="1" applyFill="1" applyAlignment="1">
      <alignment horizontal="center" vertical="center"/>
    </xf>
    <xf numFmtId="0" fontId="0" fillId="19" borderId="34" xfId="0" applyFill="1" applyBorder="1" applyAlignment="1">
      <alignment vertical="center"/>
    </xf>
    <xf numFmtId="0" fontId="11" fillId="7" borderId="34" xfId="0" applyFont="1" applyFill="1" applyBorder="1" applyAlignment="1">
      <alignment horizontal="center" vertical="center"/>
    </xf>
    <xf numFmtId="0" fontId="0" fillId="19" borderId="0" xfId="0" applyFill="1" applyAlignment="1">
      <alignment vertical="center"/>
    </xf>
    <xf numFmtId="0" fontId="3" fillId="19" borderId="34" xfId="0" applyFont="1" applyFill="1" applyBorder="1" applyAlignment="1">
      <alignment vertical="center"/>
    </xf>
    <xf numFmtId="0" fontId="0" fillId="19" borderId="37" xfId="0" applyFill="1" applyBorder="1" applyAlignment="1">
      <alignment vertical="center"/>
    </xf>
    <xf numFmtId="4" fontId="0" fillId="0" borderId="26" xfId="0" applyNumberFormat="1" applyBorder="1" applyAlignment="1">
      <alignment vertical="center"/>
    </xf>
    <xf numFmtId="4" fontId="0" fillId="0" borderId="107" xfId="0" applyNumberFormat="1" applyBorder="1" applyAlignment="1">
      <alignment vertical="center"/>
    </xf>
    <xf numFmtId="4" fontId="0" fillId="0" borderId="71" xfId="0" applyNumberFormat="1" applyBorder="1" applyAlignment="1">
      <alignment vertical="center"/>
    </xf>
    <xf numFmtId="4" fontId="3" fillId="2" borderId="26" xfId="0" applyNumberFormat="1" applyFont="1" applyFill="1" applyBorder="1" applyAlignment="1">
      <alignment vertical="center"/>
    </xf>
    <xf numFmtId="3" fontId="58" fillId="7" borderId="107" xfId="0" applyNumberFormat="1" applyFont="1" applyFill="1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3" fontId="58" fillId="7" borderId="124" xfId="0" applyNumberFormat="1" applyFont="1" applyFill="1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2" fillId="7" borderId="34" xfId="0" applyFont="1" applyFill="1" applyBorder="1" applyAlignment="1">
      <alignment vertical="center"/>
    </xf>
    <xf numFmtId="3" fontId="11" fillId="7" borderId="113" xfId="0" applyNumberFormat="1" applyFont="1" applyFill="1" applyBorder="1" applyAlignment="1">
      <alignment vertical="center" wrapText="1"/>
    </xf>
    <xf numFmtId="0" fontId="0" fillId="0" borderId="86" xfId="0" applyBorder="1" applyAlignment="1">
      <alignment vertical="center" wrapText="1"/>
    </xf>
    <xf numFmtId="0" fontId="0" fillId="0" borderId="114" xfId="0" applyBorder="1" applyAlignment="1">
      <alignment vertical="center" wrapText="1"/>
    </xf>
    <xf numFmtId="0" fontId="0" fillId="0" borderId="115" xfId="0" applyBorder="1" applyAlignment="1">
      <alignment vertical="center" wrapText="1"/>
    </xf>
    <xf numFmtId="0" fontId="0" fillId="0" borderId="116" xfId="0" applyBorder="1" applyAlignment="1">
      <alignment vertical="center" wrapText="1"/>
    </xf>
    <xf numFmtId="0" fontId="0" fillId="0" borderId="117" xfId="0" applyBorder="1" applyAlignment="1">
      <alignment vertical="center" wrapText="1"/>
    </xf>
    <xf numFmtId="0" fontId="0" fillId="0" borderId="83" xfId="0" applyBorder="1" applyAlignment="1">
      <alignment vertical="center" wrapText="1"/>
    </xf>
    <xf numFmtId="0" fontId="0" fillId="0" borderId="118" xfId="0" applyBorder="1" applyAlignment="1">
      <alignment vertical="center" wrapText="1"/>
    </xf>
    <xf numFmtId="0" fontId="11" fillId="2" borderId="115" xfId="0" applyFont="1" applyFill="1" applyBorder="1" applyAlignment="1">
      <alignment vertical="center"/>
    </xf>
    <xf numFmtId="0" fontId="0" fillId="0" borderId="115" xfId="0" applyBorder="1" applyAlignment="1">
      <alignment vertical="center"/>
    </xf>
    <xf numFmtId="4" fontId="3" fillId="7" borderId="26" xfId="0" applyNumberFormat="1" applyFont="1" applyFill="1" applyBorder="1" applyAlignment="1">
      <alignment vertical="center"/>
    </xf>
    <xf numFmtId="3" fontId="58" fillId="7" borderId="0" xfId="0" applyNumberFormat="1" applyFont="1" applyFill="1" applyAlignment="1">
      <alignment horizontal="center" vertical="center"/>
    </xf>
    <xf numFmtId="0" fontId="0" fillId="0" borderId="116" xfId="0" applyBorder="1" applyAlignment="1">
      <alignment vertical="center"/>
    </xf>
    <xf numFmtId="4" fontId="3" fillId="2" borderId="34" xfId="0" applyNumberFormat="1" applyFont="1" applyFill="1" applyBorder="1" applyAlignment="1">
      <alignment vertical="center"/>
    </xf>
    <xf numFmtId="0" fontId="0" fillId="0" borderId="34" xfId="0" applyBorder="1" applyAlignment="1">
      <alignment vertical="center"/>
    </xf>
    <xf numFmtId="0" fontId="58" fillId="0" borderId="124" xfId="0" applyFont="1" applyBorder="1" applyAlignment="1">
      <alignment horizontal="right" vertical="center" wrapText="1"/>
    </xf>
    <xf numFmtId="0" fontId="0" fillId="0" borderId="125" xfId="0" applyBorder="1" applyAlignment="1">
      <alignment horizontal="right" vertical="center" wrapText="1"/>
    </xf>
    <xf numFmtId="0" fontId="2" fillId="7" borderId="109" xfId="0" applyFont="1" applyFill="1" applyBorder="1" applyAlignment="1">
      <alignment vertical="center"/>
    </xf>
    <xf numFmtId="0" fontId="0" fillId="0" borderId="108" xfId="0" applyBorder="1" applyAlignment="1">
      <alignment vertical="center"/>
    </xf>
    <xf numFmtId="0" fontId="0" fillId="19" borderId="124" xfId="0" applyFill="1" applyBorder="1" applyAlignment="1">
      <alignment vertical="center" wrapText="1"/>
    </xf>
    <xf numFmtId="0" fontId="11" fillId="7" borderId="123" xfId="0" applyFont="1" applyFill="1" applyBorder="1" applyAlignment="1">
      <alignment vertical="center" wrapText="1"/>
    </xf>
    <xf numFmtId="0" fontId="0" fillId="0" borderId="124" xfId="0" applyBorder="1" applyAlignment="1">
      <alignment vertical="center" wrapText="1"/>
    </xf>
    <xf numFmtId="0" fontId="42" fillId="0" borderId="110" xfId="0" applyFont="1" applyBorder="1" applyAlignment="1">
      <alignment horizontal="right"/>
    </xf>
    <xf numFmtId="0" fontId="42" fillId="0" borderId="111" xfId="0" applyFont="1" applyBorder="1" applyAlignment="1">
      <alignment horizontal="right"/>
    </xf>
    <xf numFmtId="0" fontId="11" fillId="7" borderId="37" xfId="0" applyFont="1" applyFill="1" applyBorder="1" applyAlignment="1">
      <alignment vertical="center"/>
    </xf>
    <xf numFmtId="4" fontId="3" fillId="7" borderId="107" xfId="0" applyNumberFormat="1" applyFont="1" applyFill="1" applyBorder="1" applyAlignment="1" applyProtection="1">
      <alignment vertical="center"/>
      <protection locked="0"/>
    </xf>
    <xf numFmtId="4" fontId="3" fillId="7" borderId="71" xfId="0" applyNumberFormat="1" applyFont="1" applyFill="1" applyBorder="1" applyAlignment="1" applyProtection="1">
      <alignment vertical="center"/>
      <protection locked="0"/>
    </xf>
    <xf numFmtId="3" fontId="2" fillId="7" borderId="0" xfId="0" applyNumberFormat="1" applyFont="1" applyFill="1" applyAlignment="1">
      <alignment vertical="center"/>
    </xf>
    <xf numFmtId="3" fontId="2" fillId="7" borderId="37" xfId="0" applyNumberFormat="1" applyFont="1" applyFill="1" applyBorder="1" applyAlignment="1">
      <alignment vertical="center"/>
    </xf>
    <xf numFmtId="4" fontId="3" fillId="2" borderId="107" xfId="0" applyNumberFormat="1" applyFont="1" applyFill="1" applyBorder="1" applyAlignment="1">
      <alignment vertical="center"/>
    </xf>
    <xf numFmtId="4" fontId="3" fillId="2" borderId="71" xfId="0" applyNumberFormat="1" applyFont="1" applyFill="1" applyBorder="1" applyAlignment="1">
      <alignment vertical="center"/>
    </xf>
    <xf numFmtId="0" fontId="36" fillId="7" borderId="34" xfId="0" applyFont="1" applyFill="1" applyBorder="1" applyAlignment="1">
      <alignment horizontal="center" vertical="center"/>
    </xf>
    <xf numFmtId="0" fontId="36" fillId="7" borderId="123" xfId="0" applyFont="1" applyFill="1" applyBorder="1" applyAlignment="1">
      <alignment horizontal="center" vertical="center"/>
    </xf>
    <xf numFmtId="0" fontId="90" fillId="7" borderId="124" xfId="0" applyFont="1" applyFill="1" applyBorder="1" applyAlignment="1">
      <alignment horizontal="right" vertical="center"/>
    </xf>
    <xf numFmtId="0" fontId="3" fillId="2" borderId="124" xfId="0" applyFont="1" applyFill="1" applyBorder="1" applyAlignment="1">
      <alignment horizontal="right" vertical="center"/>
    </xf>
    <xf numFmtId="0" fontId="3" fillId="2" borderId="125" xfId="0" applyFont="1" applyFill="1" applyBorder="1" applyAlignment="1">
      <alignment horizontal="right" vertical="center"/>
    </xf>
    <xf numFmtId="0" fontId="11" fillId="7" borderId="34" xfId="0" applyFont="1" applyFill="1" applyBorder="1" applyAlignment="1">
      <alignment vertical="top" wrapText="1"/>
    </xf>
    <xf numFmtId="0" fontId="0" fillId="0" borderId="34" xfId="0" applyBorder="1" applyAlignment="1">
      <alignment vertical="top" wrapText="1"/>
    </xf>
    <xf numFmtId="0" fontId="11" fillId="7" borderId="34" xfId="0" applyFont="1" applyFill="1" applyBorder="1" applyAlignment="1">
      <alignment horizontal="left" vertical="center" wrapText="1"/>
    </xf>
    <xf numFmtId="0" fontId="0" fillId="0" borderId="37" xfId="0" applyBorder="1" applyAlignment="1">
      <alignment vertical="center" wrapText="1"/>
    </xf>
    <xf numFmtId="4" fontId="2" fillId="7" borderId="16" xfId="0" applyNumberFormat="1" applyFont="1" applyFill="1" applyBorder="1" applyAlignment="1" applyProtection="1">
      <alignment vertical="center"/>
      <protection locked="0"/>
    </xf>
    <xf numFmtId="4" fontId="2" fillId="7" borderId="20" xfId="0" applyNumberFormat="1" applyFont="1" applyFill="1" applyBorder="1" applyAlignment="1" applyProtection="1">
      <alignment vertical="center"/>
      <protection locked="0"/>
    </xf>
    <xf numFmtId="4" fontId="2" fillId="7" borderId="18" xfId="0" applyNumberFormat="1" applyFont="1" applyFill="1" applyBorder="1" applyAlignment="1" applyProtection="1">
      <alignment vertical="center"/>
      <protection locked="0"/>
    </xf>
    <xf numFmtId="0" fontId="11" fillId="0" borderId="19" xfId="0" applyFont="1" applyBorder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58" fillId="7" borderId="0" xfId="0" applyFont="1" applyFill="1" applyAlignment="1">
      <alignment horizontal="center" vertical="center"/>
    </xf>
    <xf numFmtId="0" fontId="11" fillId="7" borderId="124" xfId="0" applyFont="1" applyFill="1" applyBorder="1" applyAlignment="1">
      <alignment horizontal="left" vertical="center"/>
    </xf>
    <xf numFmtId="0" fontId="3" fillId="0" borderId="124" xfId="0" applyFont="1" applyBorder="1" applyAlignment="1">
      <alignment horizontal="left"/>
    </xf>
    <xf numFmtId="0" fontId="3" fillId="2" borderId="26" xfId="0" applyFont="1" applyFill="1" applyBorder="1" applyAlignment="1">
      <alignment horizontal="center"/>
    </xf>
    <xf numFmtId="0" fontId="0" fillId="0" borderId="107" xfId="0" applyBorder="1" applyAlignment="1">
      <alignment horizontal="center"/>
    </xf>
    <xf numFmtId="0" fontId="58" fillId="2" borderId="34" xfId="0" applyFont="1" applyFill="1" applyBorder="1" applyAlignment="1">
      <alignment horizontal="right"/>
    </xf>
    <xf numFmtId="0" fontId="58" fillId="0" borderId="0" xfId="0" applyFont="1" applyAlignment="1">
      <alignment horizontal="right"/>
    </xf>
    <xf numFmtId="0" fontId="3" fillId="7" borderId="109" xfId="0" applyFont="1" applyFill="1" applyBorder="1"/>
    <xf numFmtId="0" fontId="0" fillId="0" borderId="110" xfId="0" applyBorder="1"/>
    <xf numFmtId="0" fontId="0" fillId="0" borderId="111" xfId="0" applyBorder="1"/>
    <xf numFmtId="0" fontId="79" fillId="7" borderId="34" xfId="0" applyFont="1" applyFill="1" applyBorder="1" applyAlignment="1">
      <alignment vertical="center"/>
    </xf>
    <xf numFmtId="0" fontId="42" fillId="2" borderId="0" xfId="0" applyFont="1" applyFill="1" applyAlignment="1">
      <alignment vertical="center"/>
    </xf>
    <xf numFmtId="0" fontId="79" fillId="7" borderId="0" xfId="0" applyFont="1" applyFill="1" applyAlignment="1">
      <alignment vertical="center"/>
    </xf>
    <xf numFmtId="0" fontId="79" fillId="7" borderId="37" xfId="0" applyFont="1" applyFill="1" applyBorder="1" applyAlignment="1">
      <alignment vertical="center"/>
    </xf>
    <xf numFmtId="4" fontId="2" fillId="7" borderId="16" xfId="0" applyNumberFormat="1" applyFont="1" applyFill="1" applyBorder="1" applyAlignment="1">
      <alignment vertical="center"/>
    </xf>
    <xf numFmtId="4" fontId="2" fillId="7" borderId="20" xfId="0" applyNumberFormat="1" applyFont="1" applyFill="1" applyBorder="1" applyAlignment="1">
      <alignment vertical="center"/>
    </xf>
    <xf numFmtId="4" fontId="2" fillId="7" borderId="18" xfId="0" applyNumberFormat="1" applyFont="1" applyFill="1" applyBorder="1" applyAlignment="1">
      <alignment vertical="center"/>
    </xf>
    <xf numFmtId="0" fontId="11" fillId="0" borderId="19" xfId="0" applyFont="1" applyBorder="1" applyAlignment="1">
      <alignment vertical="center" wrapText="1"/>
    </xf>
    <xf numFmtId="0" fontId="11" fillId="7" borderId="32" xfId="0" applyFont="1" applyFill="1" applyBorder="1" applyAlignment="1">
      <alignment vertical="center"/>
    </xf>
    <xf numFmtId="1" fontId="3" fillId="7" borderId="0" xfId="0" applyNumberFormat="1" applyFont="1" applyFill="1" applyAlignment="1">
      <alignment horizontal="center" vertical="center"/>
    </xf>
    <xf numFmtId="0" fontId="3" fillId="2" borderId="37" xfId="0" applyFont="1" applyFill="1" applyBorder="1" applyAlignment="1">
      <alignment vertical="center"/>
    </xf>
    <xf numFmtId="0" fontId="58" fillId="7" borderId="34" xfId="0" applyFont="1" applyFill="1" applyBorder="1" applyAlignment="1">
      <alignment horizontal="left" vertical="center" wrapText="1"/>
    </xf>
    <xf numFmtId="49" fontId="11" fillId="7" borderId="0" xfId="0" applyNumberFormat="1" applyFont="1" applyFill="1" applyAlignment="1">
      <alignment horizontal="right" vertical="center"/>
    </xf>
    <xf numFmtId="49" fontId="11" fillId="7" borderId="0" xfId="0" applyNumberFormat="1" applyFont="1" applyFill="1" applyAlignment="1">
      <alignment horizontal="center" vertical="center"/>
    </xf>
    <xf numFmtId="0" fontId="3" fillId="7" borderId="37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49" fontId="3" fillId="7" borderId="26" xfId="0" applyNumberFormat="1" applyFont="1" applyFill="1" applyBorder="1" applyAlignment="1" applyProtection="1">
      <alignment horizontal="center" vertical="center"/>
      <protection locked="0"/>
    </xf>
    <xf numFmtId="49" fontId="3" fillId="7" borderId="107" xfId="0" applyNumberFormat="1" applyFont="1" applyFill="1" applyBorder="1" applyAlignment="1" applyProtection="1">
      <alignment horizontal="center" vertical="center"/>
      <protection locked="0"/>
    </xf>
    <xf numFmtId="49" fontId="3" fillId="2" borderId="107" xfId="0" applyNumberFormat="1" applyFont="1" applyFill="1" applyBorder="1" applyAlignment="1" applyProtection="1">
      <alignment horizontal="center" vertical="center"/>
      <protection locked="0"/>
    </xf>
    <xf numFmtId="49" fontId="3" fillId="2" borderId="71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11" fillId="0" borderId="37" xfId="0" applyFont="1" applyBorder="1" applyAlignment="1">
      <alignment vertical="center"/>
    </xf>
    <xf numFmtId="0" fontId="3" fillId="7" borderId="26" xfId="0" applyFont="1" applyFill="1" applyBorder="1" applyAlignment="1" applyProtection="1">
      <alignment horizontal="center" vertical="center"/>
      <protection locked="0"/>
    </xf>
    <xf numFmtId="0" fontId="3" fillId="2" borderId="26" xfId="0" applyFont="1" applyFill="1" applyBorder="1" applyAlignment="1" applyProtection="1">
      <alignment horizontal="center" vertical="center"/>
      <protection locked="0"/>
    </xf>
    <xf numFmtId="0" fontId="0" fillId="0" borderId="107" xfId="0" applyBorder="1" applyAlignment="1" applyProtection="1">
      <alignment horizontal="center" vertical="center"/>
      <protection locked="0"/>
    </xf>
    <xf numFmtId="0" fontId="0" fillId="0" borderId="71" xfId="0" applyBorder="1" applyAlignment="1" applyProtection="1">
      <alignment horizontal="center" vertical="center"/>
      <protection locked="0"/>
    </xf>
    <xf numFmtId="0" fontId="3" fillId="7" borderId="107" xfId="0" applyFont="1" applyFill="1" applyBorder="1" applyAlignment="1" applyProtection="1">
      <alignment horizontal="center" vertical="center"/>
      <protection locked="0"/>
    </xf>
    <xf numFmtId="0" fontId="3" fillId="7" borderId="71" xfId="0" applyFont="1" applyFill="1" applyBorder="1" applyAlignment="1" applyProtection="1">
      <alignment horizontal="center" vertical="center"/>
      <protection locked="0"/>
    </xf>
    <xf numFmtId="0" fontId="3" fillId="7" borderId="26" xfId="0" applyFont="1" applyFill="1" applyBorder="1" applyAlignment="1" applyProtection="1">
      <alignment vertical="center" wrapText="1"/>
      <protection locked="0"/>
    </xf>
    <xf numFmtId="0" fontId="0" fillId="0" borderId="107" xfId="0" applyBorder="1" applyAlignment="1" applyProtection="1">
      <alignment vertical="center" wrapText="1"/>
      <protection locked="0"/>
    </xf>
    <xf numFmtId="0" fontId="0" fillId="0" borderId="71" xfId="0" applyBorder="1" applyAlignment="1" applyProtection="1">
      <alignment vertical="center" wrapText="1"/>
      <protection locked="0"/>
    </xf>
    <xf numFmtId="0" fontId="3" fillId="7" borderId="107" xfId="0" applyFont="1" applyFill="1" applyBorder="1" applyAlignment="1" applyProtection="1">
      <alignment horizontal="left" vertical="center"/>
      <protection locked="0"/>
    </xf>
    <xf numFmtId="0" fontId="3" fillId="7" borderId="110" xfId="0" applyFont="1" applyFill="1" applyBorder="1" applyAlignment="1">
      <alignment vertical="center"/>
    </xf>
    <xf numFmtId="0" fontId="3" fillId="7" borderId="111" xfId="0" applyFont="1" applyFill="1" applyBorder="1" applyAlignment="1">
      <alignment vertical="center"/>
    </xf>
    <xf numFmtId="0" fontId="11" fillId="7" borderId="0" xfId="0" applyFont="1" applyFill="1" applyAlignment="1">
      <alignment horizontal="right" vertical="center"/>
    </xf>
    <xf numFmtId="0" fontId="3" fillId="0" borderId="37" xfId="0" applyFont="1" applyBorder="1" applyAlignment="1">
      <alignment horizontal="right" vertical="center"/>
    </xf>
    <xf numFmtId="0" fontId="11" fillId="7" borderId="109" xfId="0" applyFont="1" applyFill="1" applyBorder="1" applyAlignment="1">
      <alignment horizontal="left" vertical="center" wrapText="1"/>
    </xf>
    <xf numFmtId="0" fontId="0" fillId="0" borderId="110" xfId="0" applyBorder="1" applyAlignment="1">
      <alignment horizontal="left" vertical="center" wrapText="1"/>
    </xf>
    <xf numFmtId="0" fontId="11" fillId="7" borderId="110" xfId="0" applyFont="1" applyFill="1" applyBorder="1" applyAlignment="1">
      <alignment horizontal="left" vertical="center"/>
    </xf>
    <xf numFmtId="0" fontId="0" fillId="0" borderId="110" xfId="0" applyBorder="1" applyAlignment="1">
      <alignment horizontal="left" vertical="center"/>
    </xf>
    <xf numFmtId="0" fontId="0" fillId="0" borderId="111" xfId="0" applyBorder="1" applyAlignment="1">
      <alignment horizontal="left" vertical="center"/>
    </xf>
    <xf numFmtId="14" fontId="0" fillId="0" borderId="26" xfId="0" applyNumberFormat="1" applyBorder="1" applyAlignment="1" applyProtection="1">
      <alignment horizontal="center" vertical="center"/>
      <protection locked="0"/>
    </xf>
    <xf numFmtId="14" fontId="3" fillId="7" borderId="26" xfId="0" applyNumberFormat="1" applyFont="1" applyFill="1" applyBorder="1" applyAlignment="1" applyProtection="1">
      <alignment horizontal="center" vertical="center"/>
      <protection locked="0"/>
    </xf>
    <xf numFmtId="0" fontId="3" fillId="0" borderId="26" xfId="0" applyFont="1" applyBorder="1" applyAlignment="1" applyProtection="1">
      <alignment vertical="center"/>
      <protection locked="0"/>
    </xf>
    <xf numFmtId="3" fontId="3" fillId="7" borderId="26" xfId="0" applyNumberFormat="1" applyFont="1" applyFill="1" applyBorder="1" applyAlignment="1" applyProtection="1">
      <alignment horizontal="left" vertical="center"/>
      <protection locked="0"/>
    </xf>
    <xf numFmtId="3" fontId="3" fillId="7" borderId="107" xfId="0" applyNumberFormat="1" applyFont="1" applyFill="1" applyBorder="1" applyAlignment="1" applyProtection="1">
      <alignment horizontal="left" vertical="center"/>
      <protection locked="0"/>
    </xf>
    <xf numFmtId="3" fontId="3" fillId="7" borderId="71" xfId="0" applyNumberFormat="1" applyFont="1" applyFill="1" applyBorder="1" applyAlignment="1" applyProtection="1">
      <alignment horizontal="left" vertical="center"/>
      <protection locked="0"/>
    </xf>
    <xf numFmtId="0" fontId="11" fillId="7" borderId="0" xfId="0" applyFont="1" applyFill="1" applyBorder="1" applyAlignment="1">
      <alignment vertical="center"/>
    </xf>
    <xf numFmtId="0" fontId="0" fillId="0" borderId="122" xfId="0" applyBorder="1" applyAlignment="1">
      <alignment vertical="center"/>
    </xf>
    <xf numFmtId="0" fontId="11" fillId="7" borderId="109" xfId="0" applyFont="1" applyFill="1" applyBorder="1" applyAlignment="1">
      <alignment vertical="center" wrapText="1"/>
    </xf>
    <xf numFmtId="0" fontId="0" fillId="0" borderId="110" xfId="0" applyBorder="1" applyAlignment="1">
      <alignment vertical="center" wrapText="1"/>
    </xf>
    <xf numFmtId="0" fontId="0" fillId="0" borderId="111" xfId="0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7" xfId="0" applyFont="1" applyBorder="1" applyAlignment="1">
      <alignment wrapText="1"/>
    </xf>
    <xf numFmtId="0" fontId="2" fillId="7" borderId="37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left" vertical="center"/>
    </xf>
    <xf numFmtId="0" fontId="11" fillId="7" borderId="37" xfId="0" applyFont="1" applyFill="1" applyBorder="1" applyAlignment="1">
      <alignment horizontal="left" vertical="center"/>
    </xf>
    <xf numFmtId="0" fontId="3" fillId="2" borderId="107" xfId="0" applyFont="1" applyFill="1" applyBorder="1" applyAlignment="1" applyProtection="1">
      <alignment horizontal="left" vertical="center"/>
      <protection locked="0"/>
    </xf>
    <xf numFmtId="0" fontId="3" fillId="2" borderId="71" xfId="0" applyFont="1" applyFill="1" applyBorder="1" applyAlignment="1" applyProtection="1">
      <alignment horizontal="left" vertical="center"/>
      <protection locked="0"/>
    </xf>
    <xf numFmtId="0" fontId="3" fillId="2" borderId="107" xfId="0" applyFont="1" applyFill="1" applyBorder="1" applyAlignment="1" applyProtection="1">
      <alignment horizontal="center" vertical="center"/>
      <protection locked="0"/>
    </xf>
    <xf numFmtId="0" fontId="3" fillId="2" borderId="71" xfId="0" applyFont="1" applyFill="1" applyBorder="1" applyAlignment="1" applyProtection="1">
      <alignment horizontal="center" vertical="center"/>
      <protection locked="0"/>
    </xf>
    <xf numFmtId="0" fontId="36" fillId="7" borderId="123" xfId="0" applyFont="1" applyFill="1" applyBorder="1" applyAlignment="1">
      <alignment horizontal="center"/>
    </xf>
    <xf numFmtId="0" fontId="36" fillId="7" borderId="124" xfId="0" applyFont="1" applyFill="1" applyBorder="1" applyAlignment="1">
      <alignment horizontal="center"/>
    </xf>
    <xf numFmtId="0" fontId="90" fillId="7" borderId="124" xfId="0" applyFont="1" applyFill="1" applyBorder="1" applyAlignment="1">
      <alignment horizontal="left" vertical="center"/>
    </xf>
    <xf numFmtId="0" fontId="3" fillId="2" borderId="124" xfId="0" applyFont="1" applyFill="1" applyBorder="1" applyAlignment="1">
      <alignment horizontal="left" vertical="center"/>
    </xf>
    <xf numFmtId="0" fontId="3" fillId="2" borderId="125" xfId="0" applyFont="1" applyFill="1" applyBorder="1"/>
    <xf numFmtId="0" fontId="11" fillId="7" borderId="111" xfId="0" applyFont="1" applyFill="1" applyBorder="1" applyAlignment="1">
      <alignment horizontal="left" vertical="center"/>
    </xf>
    <xf numFmtId="0" fontId="3" fillId="7" borderId="26" xfId="0" applyFont="1" applyFill="1" applyBorder="1" applyAlignment="1">
      <alignment horizontal="center" vertical="center"/>
    </xf>
    <xf numFmtId="0" fontId="3" fillId="7" borderId="107" xfId="0" applyFont="1" applyFill="1" applyBorder="1" applyAlignment="1">
      <alignment horizontal="center" vertical="center"/>
    </xf>
    <xf numFmtId="0" fontId="3" fillId="7" borderId="71" xfId="0" applyFont="1" applyFill="1" applyBorder="1" applyAlignment="1">
      <alignment horizontal="center" vertical="center"/>
    </xf>
    <xf numFmtId="0" fontId="11" fillId="2" borderId="125" xfId="0" applyFont="1" applyFill="1" applyBorder="1" applyAlignment="1">
      <alignment horizontal="left" vertical="center"/>
    </xf>
    <xf numFmtId="14" fontId="3" fillId="7" borderId="151" xfId="0" applyNumberFormat="1" applyFont="1" applyFill="1" applyBorder="1" applyAlignment="1" applyProtection="1">
      <alignment horizontal="center" vertical="center"/>
      <protection locked="0"/>
    </xf>
    <xf numFmtId="0" fontId="3" fillId="7" borderId="108" xfId="0" applyFont="1" applyFill="1" applyBorder="1" applyAlignment="1" applyProtection="1">
      <alignment horizontal="center" vertical="center"/>
      <protection locked="0"/>
    </xf>
    <xf numFmtId="0" fontId="11" fillId="7" borderId="109" xfId="0" applyFont="1" applyFill="1" applyBorder="1" applyAlignment="1">
      <alignment horizontal="center"/>
    </xf>
    <xf numFmtId="0" fontId="11" fillId="7" borderId="110" xfId="0" applyFont="1" applyFill="1" applyBorder="1" applyAlignment="1">
      <alignment horizontal="center"/>
    </xf>
    <xf numFmtId="0" fontId="11" fillId="7" borderId="111" xfId="0" applyFont="1" applyFill="1" applyBorder="1" applyAlignment="1">
      <alignment horizontal="center"/>
    </xf>
    <xf numFmtId="0" fontId="11" fillId="7" borderId="34" xfId="0" applyFont="1" applyFill="1" applyBorder="1" applyAlignment="1">
      <alignment horizontal="center"/>
    </xf>
    <xf numFmtId="0" fontId="11" fillId="7" borderId="0" xfId="0" applyFont="1" applyFill="1" applyAlignment="1">
      <alignment horizontal="center"/>
    </xf>
    <xf numFmtId="0" fontId="11" fillId="7" borderId="37" xfId="0" applyFont="1" applyFill="1" applyBorder="1" applyAlignment="1">
      <alignment horizontal="center"/>
    </xf>
    <xf numFmtId="0" fontId="11" fillId="7" borderId="123" xfId="0" applyFont="1" applyFill="1" applyBorder="1" applyAlignment="1">
      <alignment horizontal="center"/>
    </xf>
    <xf numFmtId="0" fontId="11" fillId="7" borderId="124" xfId="0" applyFont="1" applyFill="1" applyBorder="1" applyAlignment="1">
      <alignment horizontal="center"/>
    </xf>
    <xf numFmtId="0" fontId="11" fillId="7" borderId="125" xfId="0" applyFont="1" applyFill="1" applyBorder="1" applyAlignment="1">
      <alignment horizontal="center"/>
    </xf>
    <xf numFmtId="14" fontId="3" fillId="7" borderId="26" xfId="0" applyNumberFormat="1" applyFont="1" applyFill="1" applyBorder="1" applyAlignment="1">
      <alignment horizontal="center" vertical="center"/>
    </xf>
    <xf numFmtId="0" fontId="42" fillId="7" borderId="0" xfId="0" applyFont="1" applyFill="1" applyAlignment="1">
      <alignment horizontal="right" vertical="center"/>
    </xf>
    <xf numFmtId="0" fontId="42" fillId="0" borderId="122" xfId="0" applyFont="1" applyBorder="1" applyAlignment="1">
      <alignment horizontal="right" vertical="center"/>
    </xf>
    <xf numFmtId="0" fontId="11" fillId="7" borderId="121" xfId="0" applyFont="1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121" xfId="0" applyBorder="1" applyAlignment="1" applyProtection="1">
      <alignment vertical="center"/>
    </xf>
    <xf numFmtId="0" fontId="3" fillId="2" borderId="110" xfId="0" applyFont="1" applyFill="1" applyBorder="1" applyAlignment="1">
      <alignment vertical="center"/>
    </xf>
    <xf numFmtId="0" fontId="2" fillId="7" borderId="121" xfId="0" applyFont="1" applyFill="1" applyBorder="1" applyAlignment="1">
      <alignment vertical="center"/>
    </xf>
    <xf numFmtId="0" fontId="2" fillId="19" borderId="110" xfId="0" applyFont="1" applyFill="1" applyBorder="1" applyAlignment="1">
      <alignment vertical="center" wrapText="1"/>
    </xf>
    <xf numFmtId="0" fontId="2" fillId="0" borderId="110" xfId="0" applyFont="1" applyBorder="1" applyAlignment="1">
      <alignment vertical="center" wrapText="1"/>
    </xf>
    <xf numFmtId="0" fontId="0" fillId="19" borderId="123" xfId="0" applyFill="1" applyBorder="1" applyAlignment="1">
      <alignment vertical="center"/>
    </xf>
    <xf numFmtId="0" fontId="11" fillId="19" borderId="124" xfId="0" applyFont="1" applyFill="1" applyBorder="1" applyAlignment="1">
      <alignment horizontal="center" vertical="center"/>
    </xf>
    <xf numFmtId="0" fontId="11" fillId="0" borderId="124" xfId="0" applyFont="1" applyBorder="1" applyAlignment="1">
      <alignment horizontal="center" vertical="center"/>
    </xf>
    <xf numFmtId="0" fontId="11" fillId="0" borderId="125" xfId="0" applyFont="1" applyBorder="1" applyAlignment="1">
      <alignment horizontal="center" vertical="center"/>
    </xf>
    <xf numFmtId="0" fontId="42" fillId="19" borderId="0" xfId="0" applyFont="1" applyFill="1" applyBorder="1" applyAlignment="1" applyProtection="1">
      <alignment vertical="center"/>
    </xf>
    <xf numFmtId="0" fontId="0" fillId="0" borderId="122" xfId="0" applyBorder="1" applyAlignment="1" applyProtection="1">
      <alignment vertical="center"/>
    </xf>
    <xf numFmtId="0" fontId="2" fillId="19" borderId="109" xfId="0" applyFont="1" applyFill="1" applyBorder="1" applyAlignment="1">
      <alignment vertical="center"/>
    </xf>
    <xf numFmtId="0" fontId="2" fillId="0" borderId="110" xfId="0" applyFont="1" applyBorder="1" applyAlignment="1">
      <alignment vertical="center"/>
    </xf>
    <xf numFmtId="0" fontId="2" fillId="0" borderId="111" xfId="0" applyFont="1" applyBorder="1" applyAlignment="1">
      <alignment vertical="center"/>
    </xf>
    <xf numFmtId="14" fontId="0" fillId="19" borderId="83" xfId="0" applyNumberFormat="1" applyFill="1" applyBorder="1" applyAlignment="1" applyProtection="1">
      <alignment horizontal="center" vertical="center"/>
      <protection locked="0"/>
    </xf>
    <xf numFmtId="0" fontId="0" fillId="0" borderId="83" xfId="0" applyBorder="1" applyAlignment="1" applyProtection="1">
      <alignment horizontal="center" vertical="center"/>
      <protection locked="0"/>
    </xf>
    <xf numFmtId="0" fontId="0" fillId="19" borderId="0" xfId="0" applyFill="1" applyBorder="1" applyAlignment="1">
      <alignment vertical="center"/>
    </xf>
    <xf numFmtId="0" fontId="0" fillId="19" borderId="0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83" xfId="0" applyBorder="1" applyAlignment="1" applyProtection="1">
      <alignment vertical="center"/>
      <protection locked="0"/>
    </xf>
    <xf numFmtId="0" fontId="42" fillId="19" borderId="86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19" borderId="121" xfId="0" applyFill="1" applyBorder="1" applyAlignment="1">
      <alignment vertical="center"/>
    </xf>
    <xf numFmtId="0" fontId="2" fillId="0" borderId="106" xfId="0" applyFont="1" applyBorder="1" applyAlignment="1" applyProtection="1">
      <alignment horizontal="center" vertical="center"/>
    </xf>
    <xf numFmtId="0" fontId="2" fillId="0" borderId="107" xfId="0" applyFont="1" applyBorder="1" applyAlignment="1" applyProtection="1">
      <alignment horizontal="center" vertical="center"/>
    </xf>
    <xf numFmtId="0" fontId="2" fillId="0" borderId="108" xfId="0" applyFont="1" applyBorder="1" applyAlignment="1" applyProtection="1">
      <alignment horizontal="center" vertical="center"/>
    </xf>
    <xf numFmtId="49" fontId="58" fillId="19" borderId="0" xfId="0" applyNumberFormat="1" applyFont="1" applyFill="1" applyBorder="1" applyAlignment="1">
      <alignment horizontal="center" vertical="center"/>
    </xf>
    <xf numFmtId="49" fontId="0" fillId="0" borderId="0" xfId="0" applyNumberFormat="1" applyBorder="1" applyAlignment="1">
      <alignment vertical="center"/>
    </xf>
    <xf numFmtId="0" fontId="3" fillId="19" borderId="151" xfId="0" applyFont="1" applyFill="1" applyBorder="1" applyAlignment="1">
      <alignment vertical="center"/>
    </xf>
    <xf numFmtId="0" fontId="42" fillId="19" borderId="124" xfId="0" applyFont="1" applyFill="1" applyBorder="1" applyAlignment="1">
      <alignment vertical="center"/>
    </xf>
    <xf numFmtId="0" fontId="42" fillId="0" borderId="124" xfId="0" applyFont="1" applyBorder="1" applyAlignment="1">
      <alignment vertical="center"/>
    </xf>
    <xf numFmtId="0" fontId="0" fillId="19" borderId="151" xfId="0" applyFill="1" applyBorder="1" applyAlignment="1" applyProtection="1">
      <alignment vertical="center"/>
      <protection locked="0"/>
    </xf>
    <xf numFmtId="0" fontId="0" fillId="0" borderId="108" xfId="0" applyBorder="1" applyAlignment="1" applyProtection="1">
      <alignment vertical="center"/>
      <protection locked="0"/>
    </xf>
    <xf numFmtId="14" fontId="0" fillId="19" borderId="151" xfId="0" applyNumberFormat="1" applyFill="1" applyBorder="1" applyAlignment="1" applyProtection="1">
      <alignment horizontal="center" vertical="center"/>
      <protection locked="0"/>
    </xf>
    <xf numFmtId="0" fontId="0" fillId="0" borderId="108" xfId="0" applyBorder="1" applyAlignment="1" applyProtection="1">
      <alignment horizontal="center" vertical="center"/>
      <protection locked="0"/>
    </xf>
    <xf numFmtId="0" fontId="0" fillId="19" borderId="151" xfId="0" applyFill="1" applyBorder="1" applyAlignment="1">
      <alignment horizontal="center" vertical="center"/>
    </xf>
    <xf numFmtId="0" fontId="42" fillId="19" borderId="0" xfId="0" applyFont="1" applyFill="1" applyBorder="1" applyAlignment="1">
      <alignment vertical="center"/>
    </xf>
    <xf numFmtId="0" fontId="0" fillId="19" borderId="106" xfId="0" applyFill="1" applyBorder="1" applyAlignment="1" applyProtection="1">
      <alignment vertical="center"/>
      <protection locked="0"/>
    </xf>
    <xf numFmtId="0" fontId="79" fillId="19" borderId="0" xfId="0" applyFont="1" applyFill="1" applyAlignment="1">
      <alignment wrapText="1"/>
    </xf>
    <xf numFmtId="0" fontId="79" fillId="0" borderId="0" xfId="0" applyFont="1" applyAlignment="1">
      <alignment wrapText="1"/>
    </xf>
    <xf numFmtId="0" fontId="0" fillId="19" borderId="151" xfId="0" applyFill="1" applyBorder="1" applyAlignment="1">
      <alignment horizontal="left" vertical="center"/>
    </xf>
    <xf numFmtId="0" fontId="0" fillId="0" borderId="108" xfId="0" applyBorder="1" applyAlignment="1">
      <alignment horizontal="left" vertical="center"/>
    </xf>
    <xf numFmtId="0" fontId="0" fillId="19" borderId="109" xfId="0" applyFill="1" applyBorder="1" applyAlignment="1">
      <alignment vertical="center"/>
    </xf>
    <xf numFmtId="0" fontId="0" fillId="0" borderId="121" xfId="0" applyBorder="1" applyAlignment="1">
      <alignment vertical="center"/>
    </xf>
    <xf numFmtId="0" fontId="0" fillId="0" borderId="123" xfId="0" applyBorder="1" applyAlignment="1">
      <alignment vertical="center"/>
    </xf>
    <xf numFmtId="0" fontId="79" fillId="19" borderId="124" xfId="0" applyFont="1" applyFill="1" applyBorder="1" applyAlignment="1">
      <alignment horizontal="center"/>
    </xf>
    <xf numFmtId="0" fontId="79" fillId="0" borderId="124" xfId="0" applyFont="1" applyBorder="1" applyAlignment="1">
      <alignment horizontal="center"/>
    </xf>
    <xf numFmtId="1" fontId="0" fillId="19" borderId="151" xfId="0" applyNumberFormat="1" applyFill="1" applyBorder="1" applyAlignment="1">
      <alignment horizontal="center" vertical="center"/>
    </xf>
    <xf numFmtId="0" fontId="79" fillId="19" borderId="124" xfId="0" applyFont="1" applyFill="1" applyBorder="1" applyAlignment="1">
      <alignment wrapText="1"/>
    </xf>
    <xf numFmtId="0" fontId="79" fillId="0" borderId="124" xfId="0" applyFont="1" applyBorder="1" applyAlignment="1">
      <alignment wrapText="1"/>
    </xf>
    <xf numFmtId="0" fontId="11" fillId="19" borderId="119" xfId="0" applyFont="1" applyFill="1" applyBorder="1" applyAlignment="1">
      <alignment horizontal="center" vertical="center"/>
    </xf>
    <xf numFmtId="0" fontId="11" fillId="19" borderId="120" xfId="0" applyFont="1" applyFill="1" applyBorder="1" applyAlignment="1">
      <alignment horizontal="center" vertical="center"/>
    </xf>
    <xf numFmtId="0" fontId="73" fillId="19" borderId="0" xfId="0" applyFont="1" applyFill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4" fillId="19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108" xfId="0" applyFont="1" applyBorder="1" applyAlignment="1">
      <alignment horizontal="center" vertical="center"/>
    </xf>
    <xf numFmtId="0" fontId="42" fillId="0" borderId="121" xfId="0" applyFont="1" applyBorder="1" applyAlignment="1" applyProtection="1">
      <alignment horizontal="left" vertical="center"/>
    </xf>
    <xf numFmtId="14" fontId="2" fillId="0" borderId="106" xfId="0" applyNumberFormat="1" applyFont="1" applyBorder="1" applyAlignment="1" applyProtection="1">
      <alignment horizontal="center" vertical="center"/>
      <protection locked="0"/>
    </xf>
    <xf numFmtId="0" fontId="2" fillId="0" borderId="107" xfId="0" applyFont="1" applyBorder="1" applyAlignment="1" applyProtection="1">
      <alignment horizontal="center" vertical="center"/>
      <protection locked="0"/>
    </xf>
    <xf numFmtId="0" fontId="42" fillId="0" borderId="121" xfId="0" applyFont="1" applyBorder="1" applyAlignment="1" applyProtection="1">
      <alignment vertical="center"/>
    </xf>
    <xf numFmtId="0" fontId="42" fillId="0" borderId="0" xfId="0" applyFont="1" applyBorder="1" applyAlignment="1" applyProtection="1">
      <alignment horizontal="left" vertical="center"/>
    </xf>
    <xf numFmtId="0" fontId="87" fillId="19" borderId="0" xfId="0" applyFont="1" applyFill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33" fillId="19" borderId="0" xfId="11" applyFont="1" applyFill="1" applyAlignment="1">
      <alignment horizontal="center" vertical="top"/>
    </xf>
    <xf numFmtId="0" fontId="42" fillId="19" borderId="0" xfId="11" applyFont="1" applyFill="1" applyAlignment="1">
      <alignment horizontal="center"/>
    </xf>
    <xf numFmtId="0" fontId="74" fillId="19" borderId="83" xfId="11" applyFont="1" applyFill="1" applyBorder="1" applyAlignment="1" applyProtection="1">
      <alignment horizontal="left" vertical="center"/>
      <protection locked="0"/>
    </xf>
    <xf numFmtId="0" fontId="74" fillId="0" borderId="83" xfId="10" applyFont="1" applyBorder="1" applyAlignment="1" applyProtection="1">
      <alignment horizontal="left" vertical="center"/>
      <protection locked="0"/>
    </xf>
    <xf numFmtId="0" fontId="11" fillId="19" borderId="0" xfId="11" applyFont="1" applyFill="1" applyAlignment="1">
      <alignment horizontal="center" vertical="top"/>
    </xf>
    <xf numFmtId="0" fontId="74" fillId="19" borderId="83" xfId="11" applyFont="1" applyFill="1" applyBorder="1" applyAlignment="1" applyProtection="1">
      <alignment vertical="center"/>
      <protection locked="0"/>
    </xf>
    <xf numFmtId="0" fontId="74" fillId="0" borderId="83" xfId="10" applyFont="1" applyBorder="1" applyAlignment="1" applyProtection="1">
      <alignment vertical="center"/>
      <protection locked="0"/>
    </xf>
    <xf numFmtId="0" fontId="42" fillId="19" borderId="0" xfId="11" applyFont="1" applyFill="1" applyBorder="1" applyAlignment="1">
      <alignment horizontal="center"/>
    </xf>
    <xf numFmtId="0" fontId="42" fillId="19" borderId="122" xfId="11" applyFont="1" applyFill="1" applyBorder="1" applyAlignment="1">
      <alignment horizontal="center"/>
    </xf>
    <xf numFmtId="49" fontId="2" fillId="19" borderId="106" xfId="11" applyNumberFormat="1" applyFont="1" applyFill="1" applyBorder="1" applyAlignment="1" applyProtection="1">
      <alignment horizontal="center" vertical="center"/>
      <protection locked="0"/>
    </xf>
    <xf numFmtId="49" fontId="2" fillId="19" borderId="108" xfId="11" applyNumberFormat="1" applyFont="1" applyFill="1" applyBorder="1" applyAlignment="1" applyProtection="1">
      <alignment horizontal="center" vertical="center"/>
      <protection locked="0"/>
    </xf>
    <xf numFmtId="0" fontId="42" fillId="19" borderId="0" xfId="11" applyFont="1" applyFill="1" applyAlignment="1" applyProtection="1">
      <alignment horizontal="left" vertical="center"/>
      <protection locked="0"/>
    </xf>
    <xf numFmtId="0" fontId="42" fillId="19" borderId="0" xfId="11" applyFont="1" applyFill="1" applyAlignment="1">
      <alignment horizontal="center" vertical="center"/>
    </xf>
    <xf numFmtId="0" fontId="42" fillId="19" borderId="0" xfId="11" applyFont="1" applyFill="1" applyAlignment="1">
      <alignment horizontal="left" vertical="center"/>
    </xf>
    <xf numFmtId="0" fontId="2" fillId="19" borderId="83" xfId="11" applyNumberFormat="1" applyFont="1" applyFill="1" applyBorder="1" applyAlignment="1" applyProtection="1">
      <alignment horizontal="center" vertical="center"/>
    </xf>
    <xf numFmtId="0" fontId="3" fillId="0" borderId="83" xfId="10" applyFont="1" applyBorder="1" applyAlignment="1" applyProtection="1">
      <alignment vertical="center"/>
    </xf>
    <xf numFmtId="0" fontId="2" fillId="19" borderId="106" xfId="11" applyNumberFormat="1" applyFont="1" applyFill="1" applyBorder="1" applyAlignment="1" applyProtection="1">
      <alignment horizontal="center" vertical="center"/>
    </xf>
    <xf numFmtId="0" fontId="2" fillId="19" borderId="108" xfId="11" applyNumberFormat="1" applyFont="1" applyFill="1" applyBorder="1" applyAlignment="1" applyProtection="1">
      <alignment horizontal="center" vertical="center"/>
    </xf>
    <xf numFmtId="0" fontId="11" fillId="19" borderId="86" xfId="11" applyFont="1" applyFill="1" applyBorder="1" applyAlignment="1">
      <alignment horizontal="center"/>
    </xf>
    <xf numFmtId="0" fontId="3" fillId="0" borderId="86" xfId="10" applyBorder="1" applyAlignment="1">
      <alignment horizontal="center"/>
    </xf>
    <xf numFmtId="0" fontId="3" fillId="0" borderId="0" xfId="10" applyAlignment="1">
      <alignment horizontal="center"/>
    </xf>
    <xf numFmtId="0" fontId="2" fillId="19" borderId="83" xfId="11" applyFont="1" applyFill="1" applyBorder="1" applyAlignment="1" applyProtection="1">
      <alignment horizontal="center" vertical="center"/>
      <protection locked="0"/>
    </xf>
    <xf numFmtId="1" fontId="73" fillId="19" borderId="83" xfId="11" applyNumberFormat="1" applyFont="1" applyFill="1" applyBorder="1" applyAlignment="1" applyProtection="1">
      <alignment horizontal="center" vertical="center"/>
    </xf>
    <xf numFmtId="4" fontId="2" fillId="19" borderId="83" xfId="11" applyNumberFormat="1" applyFont="1" applyFill="1" applyBorder="1" applyAlignment="1" applyProtection="1">
      <alignment horizontal="center" vertical="center"/>
      <protection locked="0"/>
    </xf>
    <xf numFmtId="4" fontId="42" fillId="19" borderId="0" xfId="11" applyNumberFormat="1" applyFont="1" applyFill="1" applyAlignment="1">
      <alignment horizontal="center" vertical="center"/>
    </xf>
    <xf numFmtId="3" fontId="42" fillId="19" borderId="0" xfId="11" applyNumberFormat="1" applyFont="1" applyFill="1" applyBorder="1" applyAlignment="1" applyProtection="1">
      <alignment horizontal="center"/>
    </xf>
    <xf numFmtId="14" fontId="79" fillId="19" borderId="83" xfId="11" applyNumberFormat="1" applyFont="1" applyFill="1" applyBorder="1" applyAlignment="1" applyProtection="1">
      <alignment horizontal="center" vertical="center"/>
      <protection locked="0"/>
    </xf>
    <xf numFmtId="0" fontId="79" fillId="19" borderId="83" xfId="11" applyFont="1" applyFill="1" applyBorder="1" applyAlignment="1" applyProtection="1">
      <alignment horizontal="center" vertical="center"/>
    </xf>
    <xf numFmtId="0" fontId="11" fillId="19" borderId="0" xfId="11" applyFont="1" applyFill="1" applyAlignment="1">
      <alignment horizontal="left" wrapText="1"/>
    </xf>
    <xf numFmtId="0" fontId="11" fillId="19" borderId="0" xfId="11" applyFont="1" applyFill="1" applyAlignment="1">
      <alignment horizontal="center"/>
    </xf>
    <xf numFmtId="49" fontId="2" fillId="19" borderId="83" xfId="11" applyNumberFormat="1" applyFont="1" applyFill="1" applyBorder="1" applyAlignment="1" applyProtection="1">
      <alignment horizontal="center" vertical="center"/>
      <protection locked="0"/>
    </xf>
    <xf numFmtId="167" fontId="2" fillId="19" borderId="83" xfId="11" applyNumberFormat="1" applyFont="1" applyFill="1" applyBorder="1" applyAlignment="1" applyProtection="1">
      <alignment horizontal="center" vertical="center"/>
      <protection locked="0"/>
    </xf>
    <xf numFmtId="0" fontId="0" fillId="32" borderId="140" xfId="0" applyFill="1" applyBorder="1"/>
    <xf numFmtId="0" fontId="0" fillId="17" borderId="141" xfId="0" applyFill="1" applyBorder="1"/>
    <xf numFmtId="0" fontId="0" fillId="17" borderId="142" xfId="0" applyFill="1" applyBorder="1"/>
    <xf numFmtId="0" fontId="0" fillId="32" borderId="141" xfId="0" applyFill="1" applyBorder="1" applyAlignment="1">
      <alignment vertical="center"/>
    </xf>
    <xf numFmtId="0" fontId="0" fillId="17" borderId="141" xfId="0" applyFill="1" applyBorder="1" applyAlignment="1">
      <alignment vertical="center"/>
    </xf>
    <xf numFmtId="0" fontId="0" fillId="17" borderId="142" xfId="0" applyFill="1" applyBorder="1" applyAlignment="1">
      <alignment vertical="center"/>
    </xf>
    <xf numFmtId="0" fontId="152" fillId="29" borderId="144" xfId="0" applyFont="1" applyFill="1" applyBorder="1" applyAlignment="1">
      <alignment vertical="center"/>
    </xf>
    <xf numFmtId="0" fontId="154" fillId="33" borderId="145" xfId="0" applyFont="1" applyFill="1" applyBorder="1" applyAlignment="1">
      <alignment vertical="center"/>
    </xf>
    <xf numFmtId="0" fontId="154" fillId="33" borderId="146" xfId="0" applyFont="1" applyFill="1" applyBorder="1" applyAlignment="1">
      <alignment vertical="center"/>
    </xf>
    <xf numFmtId="0" fontId="89" fillId="31" borderId="140" xfId="0" applyFont="1" applyFill="1" applyBorder="1" applyAlignment="1">
      <alignment horizontal="center"/>
    </xf>
    <xf numFmtId="0" fontId="0" fillId="30" borderId="141" xfId="0" applyFill="1" applyBorder="1"/>
    <xf numFmtId="0" fontId="0" fillId="30" borderId="142" xfId="0" applyFill="1" applyBorder="1"/>
    <xf numFmtId="0" fontId="89" fillId="31" borderId="0" xfId="0" applyFont="1" applyFill="1" applyAlignment="1">
      <alignment horizontal="center"/>
    </xf>
    <xf numFmtId="0" fontId="0" fillId="30" borderId="0" xfId="0" applyFill="1"/>
    <xf numFmtId="0" fontId="151" fillId="31" borderId="138" xfId="0" applyFont="1" applyFill="1" applyBorder="1" applyAlignment="1">
      <alignment vertical="center" wrapText="1"/>
    </xf>
    <xf numFmtId="0" fontId="111" fillId="30" borderId="0" xfId="0" applyFont="1" applyFill="1"/>
    <xf numFmtId="0" fontId="111" fillId="30" borderId="138" xfId="0" applyFont="1" applyFill="1" applyBorder="1"/>
    <xf numFmtId="0" fontId="151" fillId="7" borderId="135" xfId="0" applyFont="1" applyFill="1" applyBorder="1" applyAlignment="1" applyProtection="1">
      <alignment horizontal="center"/>
      <protection locked="0"/>
    </xf>
    <xf numFmtId="0" fontId="151" fillId="7" borderId="136" xfId="0" applyFont="1" applyFill="1" applyBorder="1" applyAlignment="1" applyProtection="1">
      <alignment horizontal="center"/>
      <protection locked="0"/>
    </xf>
    <xf numFmtId="0" fontId="151" fillId="7" borderId="137" xfId="0" applyFont="1" applyFill="1" applyBorder="1" applyAlignment="1" applyProtection="1">
      <alignment horizontal="center"/>
      <protection locked="0"/>
    </xf>
    <xf numFmtId="0" fontId="151" fillId="7" borderId="138" xfId="0" applyFont="1" applyFill="1" applyBorder="1" applyAlignment="1" applyProtection="1">
      <alignment horizontal="center"/>
      <protection locked="0"/>
    </xf>
    <xf numFmtId="0" fontId="151" fillId="7" borderId="0" xfId="0" applyFont="1" applyFill="1" applyAlignment="1" applyProtection="1">
      <alignment horizontal="center"/>
      <protection locked="0"/>
    </xf>
    <xf numFmtId="0" fontId="151" fillId="7" borderId="139" xfId="0" applyFont="1" applyFill="1" applyBorder="1" applyAlignment="1" applyProtection="1">
      <alignment horizontal="center"/>
      <protection locked="0"/>
    </xf>
    <xf numFmtId="0" fontId="151" fillId="7" borderId="140" xfId="0" applyFont="1" applyFill="1" applyBorder="1" applyAlignment="1" applyProtection="1">
      <alignment horizontal="center"/>
      <protection locked="0"/>
    </xf>
    <xf numFmtId="0" fontId="151" fillId="7" borderId="141" xfId="0" applyFont="1" applyFill="1" applyBorder="1" applyAlignment="1" applyProtection="1">
      <alignment horizontal="center"/>
      <protection locked="0"/>
    </xf>
    <xf numFmtId="0" fontId="151" fillId="7" borderId="142" xfId="0" applyFont="1" applyFill="1" applyBorder="1" applyAlignment="1" applyProtection="1">
      <alignment horizontal="center"/>
      <protection locked="0"/>
    </xf>
    <xf numFmtId="0" fontId="0" fillId="31" borderId="0" xfId="0" applyFill="1"/>
    <xf numFmtId="0" fontId="0" fillId="31" borderId="139" xfId="0" applyFill="1" applyBorder="1"/>
    <xf numFmtId="0" fontId="153" fillId="31" borderId="0" xfId="0" applyFont="1" applyFill="1" applyAlignment="1">
      <alignment horizontal="center"/>
    </xf>
    <xf numFmtId="0" fontId="149" fillId="31" borderId="0" xfId="0" applyFont="1" applyFill="1"/>
    <xf numFmtId="14" fontId="91" fillId="7" borderId="135" xfId="0" applyNumberFormat="1" applyFon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horizontal="center" vertical="center"/>
    </xf>
    <xf numFmtId="0" fontId="0" fillId="0" borderId="137" xfId="0" applyBorder="1" applyAlignment="1">
      <alignment horizontal="center" vertical="center"/>
    </xf>
    <xf numFmtId="0" fontId="0" fillId="0" borderId="140" xfId="0" applyBorder="1"/>
    <xf numFmtId="0" fontId="0" fillId="0" borderId="141" xfId="0" applyBorder="1"/>
    <xf numFmtId="0" fontId="0" fillId="0" borderId="142" xfId="0" applyBorder="1"/>
    <xf numFmtId="0" fontId="89" fillId="31" borderId="138" xfId="0" applyFont="1" applyFill="1" applyBorder="1" applyAlignment="1">
      <alignment horizontal="center"/>
    </xf>
    <xf numFmtId="0" fontId="152" fillId="29" borderId="153" xfId="0" applyFont="1" applyFill="1" applyBorder="1" applyAlignment="1">
      <alignment vertical="center"/>
    </xf>
    <xf numFmtId="0" fontId="154" fillId="33" borderId="153" xfId="0" applyFont="1" applyFill="1" applyBorder="1" applyAlignment="1">
      <alignment vertical="center"/>
    </xf>
    <xf numFmtId="0" fontId="154" fillId="33" borderId="148" xfId="0" applyFont="1" applyFill="1" applyBorder="1" applyAlignment="1">
      <alignment vertical="center"/>
    </xf>
    <xf numFmtId="0" fontId="150" fillId="31" borderId="138" xfId="0" applyFont="1" applyFill="1" applyBorder="1" applyAlignment="1">
      <alignment horizontal="right" vertical="center"/>
    </xf>
    <xf numFmtId="0" fontId="111" fillId="30" borderId="0" xfId="0" applyFont="1" applyFill="1" applyAlignment="1">
      <alignment vertical="center"/>
    </xf>
    <xf numFmtId="0" fontId="111" fillId="30" borderId="139" xfId="0" applyFont="1" applyFill="1" applyBorder="1" applyAlignment="1">
      <alignment vertical="center"/>
    </xf>
    <xf numFmtId="0" fontId="156" fillId="31" borderId="0" xfId="0" applyFont="1" applyFill="1" applyAlignment="1">
      <alignment vertical="center"/>
    </xf>
    <xf numFmtId="0" fontId="157" fillId="30" borderId="0" xfId="0" applyFont="1" applyFill="1" applyAlignment="1">
      <alignment vertical="center"/>
    </xf>
    <xf numFmtId="4" fontId="91" fillId="35" borderId="144" xfId="0" applyNumberFormat="1" applyFont="1" applyFill="1" applyBorder="1" applyAlignment="1">
      <alignment vertical="center"/>
    </xf>
    <xf numFmtId="4" fontId="91" fillId="35" borderId="145" xfId="0" applyNumberFormat="1" applyFont="1" applyFill="1" applyBorder="1" applyAlignment="1">
      <alignment vertical="center"/>
    </xf>
    <xf numFmtId="4" fontId="91" fillId="35" borderId="146" xfId="0" applyNumberFormat="1" applyFont="1" applyFill="1" applyBorder="1" applyAlignment="1">
      <alignment vertical="center"/>
    </xf>
    <xf numFmtId="0" fontId="120" fillId="31" borderId="0" xfId="0" applyFont="1" applyFill="1" applyAlignment="1">
      <alignment vertical="center"/>
    </xf>
    <xf numFmtId="0" fontId="150" fillId="32" borderId="0" xfId="0" applyFont="1" applyFill="1" applyAlignment="1">
      <alignment horizontal="right" vertical="center"/>
    </xf>
    <xf numFmtId="0" fontId="150" fillId="32" borderId="139" xfId="0" applyFont="1" applyFill="1" applyBorder="1" applyAlignment="1">
      <alignment horizontal="right" vertical="center"/>
    </xf>
    <xf numFmtId="0" fontId="0" fillId="31" borderId="138" xfId="0" applyFill="1" applyBorder="1" applyAlignment="1">
      <alignment vertical="center"/>
    </xf>
    <xf numFmtId="0" fontId="0" fillId="30" borderId="0" xfId="0" applyFill="1" applyAlignment="1">
      <alignment vertical="center"/>
    </xf>
    <xf numFmtId="0" fontId="0" fillId="30" borderId="139" xfId="0" applyFill="1" applyBorder="1" applyAlignment="1">
      <alignment vertical="center"/>
    </xf>
    <xf numFmtId="0" fontId="156" fillId="32" borderId="0" xfId="0" applyFont="1" applyFill="1" applyAlignment="1">
      <alignment vertical="center"/>
    </xf>
    <xf numFmtId="0" fontId="157" fillId="32" borderId="0" xfId="0" applyFont="1" applyFill="1" applyAlignment="1">
      <alignment vertical="center"/>
    </xf>
    <xf numFmtId="0" fontId="157" fillId="32" borderId="62" xfId="0" applyFont="1" applyFill="1" applyBorder="1" applyAlignment="1">
      <alignment vertical="center"/>
    </xf>
    <xf numFmtId="0" fontId="157" fillId="32" borderId="139" xfId="0" applyFont="1" applyFill="1" applyBorder="1" applyAlignment="1">
      <alignment vertical="center"/>
    </xf>
    <xf numFmtId="3" fontId="91" fillId="35" borderId="144" xfId="0" applyNumberFormat="1" applyFont="1" applyFill="1" applyBorder="1" applyAlignment="1">
      <alignment vertical="center"/>
    </xf>
    <xf numFmtId="3" fontId="91" fillId="35" borderId="145" xfId="0" applyNumberFormat="1" applyFont="1" applyFill="1" applyBorder="1" applyAlignment="1">
      <alignment vertical="center"/>
    </xf>
    <xf numFmtId="3" fontId="91" fillId="35" borderId="146" xfId="0" applyNumberFormat="1" applyFont="1" applyFill="1" applyBorder="1" applyAlignment="1">
      <alignment vertical="center"/>
    </xf>
    <xf numFmtId="0" fontId="2" fillId="31" borderId="0" xfId="0" applyFont="1" applyFill="1" applyAlignment="1">
      <alignment vertical="center"/>
    </xf>
    <xf numFmtId="0" fontId="150" fillId="31" borderId="0" xfId="0" applyFont="1" applyFill="1" applyAlignment="1">
      <alignment horizontal="left" vertical="center"/>
    </xf>
    <xf numFmtId="0" fontId="0" fillId="31" borderId="0" xfId="0" applyFill="1" applyAlignment="1">
      <alignment vertical="center"/>
    </xf>
    <xf numFmtId="0" fontId="0" fillId="36" borderId="145" xfId="0" applyFill="1" applyBorder="1" applyAlignment="1">
      <alignment vertical="center"/>
    </xf>
    <xf numFmtId="0" fontId="0" fillId="36" borderId="146" xfId="0" applyFill="1" applyBorder="1" applyAlignment="1">
      <alignment vertical="center"/>
    </xf>
    <xf numFmtId="0" fontId="153" fillId="31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139" xfId="0" applyFont="1" applyBorder="1" applyAlignment="1">
      <alignment vertical="center"/>
    </xf>
    <xf numFmtId="0" fontId="153" fillId="31" borderId="138" xfId="0" applyFont="1" applyFill="1" applyBorder="1" applyAlignment="1">
      <alignment vertical="center"/>
    </xf>
    <xf numFmtId="0" fontId="0" fillId="0" borderId="139" xfId="0" applyBorder="1" applyAlignment="1">
      <alignment vertical="center"/>
    </xf>
    <xf numFmtId="0" fontId="91" fillId="7" borderId="144" xfId="0" applyFont="1" applyFill="1" applyBorder="1" applyAlignment="1" applyProtection="1">
      <alignment horizontal="center" vertical="center"/>
      <protection locked="0"/>
    </xf>
    <xf numFmtId="0" fontId="91" fillId="7" borderId="146" xfId="0" applyFont="1" applyFill="1" applyBorder="1" applyAlignment="1" applyProtection="1">
      <alignment horizontal="center" vertical="center"/>
      <protection locked="0"/>
    </xf>
    <xf numFmtId="0" fontId="120" fillId="31" borderId="139" xfId="0" applyFont="1" applyFill="1" applyBorder="1" applyAlignment="1">
      <alignment vertical="center"/>
    </xf>
    <xf numFmtId="0" fontId="150" fillId="31" borderId="0" xfId="0" applyFont="1" applyFill="1" applyAlignment="1">
      <alignment horizontal="right"/>
    </xf>
    <xf numFmtId="0" fontId="145" fillId="30" borderId="0" xfId="0" applyFont="1" applyFill="1" applyAlignment="1">
      <alignment horizontal="right"/>
    </xf>
    <xf numFmtId="0" fontId="145" fillId="30" borderId="139" xfId="0" applyFont="1" applyFill="1" applyBorder="1" applyAlignment="1">
      <alignment horizontal="right"/>
    </xf>
    <xf numFmtId="0" fontId="149" fillId="31" borderId="0" xfId="0" applyFont="1" applyFill="1" applyAlignment="1">
      <alignment vertical="center"/>
    </xf>
    <xf numFmtId="0" fontId="149" fillId="31" borderId="139" xfId="0" applyFont="1" applyFill="1" applyBorder="1" applyAlignment="1">
      <alignment vertical="center"/>
    </xf>
    <xf numFmtId="3" fontId="91" fillId="7" borderId="144" xfId="0" applyNumberFormat="1" applyFont="1" applyFill="1" applyBorder="1" applyAlignment="1" applyProtection="1">
      <alignment vertical="center"/>
      <protection locked="0"/>
    </xf>
    <xf numFmtId="0" fontId="91" fillId="7" borderId="145" xfId="0" applyFont="1" applyFill="1" applyBorder="1" applyAlignment="1" applyProtection="1">
      <alignment vertical="center"/>
      <protection locked="0"/>
    </xf>
    <xf numFmtId="0" fontId="91" fillId="7" borderId="146" xfId="0" applyFont="1" applyFill="1" applyBorder="1" applyAlignment="1" applyProtection="1">
      <alignment vertical="center"/>
      <protection locked="0"/>
    </xf>
    <xf numFmtId="0" fontId="150" fillId="31" borderId="0" xfId="0" applyFont="1" applyFill="1" applyAlignment="1">
      <alignment horizontal="right" vertical="center"/>
    </xf>
    <xf numFmtId="0" fontId="145" fillId="30" borderId="0" xfId="0" applyFont="1" applyFill="1" applyAlignment="1">
      <alignment horizontal="right" vertical="center"/>
    </xf>
    <xf numFmtId="0" fontId="145" fillId="30" borderId="139" xfId="0" applyFont="1" applyFill="1" applyBorder="1" applyAlignment="1">
      <alignment horizontal="right" vertical="center"/>
    </xf>
    <xf numFmtId="0" fontId="150" fillId="31" borderId="139" xfId="0" applyFont="1" applyFill="1" applyBorder="1" applyAlignment="1">
      <alignment horizontal="right"/>
    </xf>
    <xf numFmtId="0" fontId="150" fillId="31" borderId="138" xfId="0" applyFont="1" applyFill="1" applyBorder="1" applyAlignment="1">
      <alignment vertical="center"/>
    </xf>
    <xf numFmtId="0" fontId="150" fillId="31" borderId="0" xfId="0" applyFont="1" applyFill="1" applyAlignment="1">
      <alignment vertical="center"/>
    </xf>
    <xf numFmtId="0" fontId="150" fillId="31" borderId="139" xfId="0" applyFont="1" applyFill="1" applyBorder="1" applyAlignment="1">
      <alignment vertical="center"/>
    </xf>
    <xf numFmtId="0" fontId="91" fillId="7" borderId="144" xfId="0" applyFont="1" applyFill="1" applyBorder="1" applyAlignment="1" applyProtection="1">
      <alignment vertical="center"/>
      <protection locked="0"/>
    </xf>
    <xf numFmtId="0" fontId="91" fillId="0" borderId="145" xfId="0" applyFont="1" applyBorder="1" applyAlignment="1" applyProtection="1">
      <alignment vertical="center"/>
      <protection locked="0"/>
    </xf>
    <xf numFmtId="0" fontId="91" fillId="0" borderId="146" xfId="0" applyFont="1" applyBorder="1" applyAlignment="1" applyProtection="1">
      <alignment vertical="center"/>
      <protection locked="0"/>
    </xf>
    <xf numFmtId="0" fontId="0" fillId="31" borderId="138" xfId="0" applyFill="1" applyBorder="1"/>
    <xf numFmtId="0" fontId="152" fillId="29" borderId="145" xfId="0" applyFont="1" applyFill="1" applyBorder="1" applyAlignment="1">
      <alignment vertical="center"/>
    </xf>
    <xf numFmtId="0" fontId="149" fillId="31" borderId="135" xfId="0" applyFont="1" applyFill="1" applyBorder="1" applyAlignment="1">
      <alignment vertical="center"/>
    </xf>
    <xf numFmtId="0" fontId="0" fillId="0" borderId="136" xfId="0" applyBorder="1" applyAlignment="1">
      <alignment vertical="center"/>
    </xf>
    <xf numFmtId="0" fontId="0" fillId="0" borderId="137" xfId="0" applyBorder="1" applyAlignment="1">
      <alignment vertical="center"/>
    </xf>
    <xf numFmtId="0" fontId="111" fillId="30" borderId="135" xfId="0" applyFont="1" applyFill="1" applyBorder="1" applyAlignment="1">
      <alignment vertical="center"/>
    </xf>
    <xf numFmtId="0" fontId="0" fillId="0" borderId="136" xfId="0" applyBorder="1"/>
    <xf numFmtId="0" fontId="0" fillId="0" borderId="137" xfId="0" applyBorder="1"/>
    <xf numFmtId="0" fontId="153" fillId="31" borderId="0" xfId="0" applyFont="1" applyFill="1"/>
    <xf numFmtId="0" fontId="0" fillId="0" borderId="139" xfId="0" applyBorder="1"/>
    <xf numFmtId="0" fontId="150" fillId="30" borderId="138" xfId="0" applyFont="1" applyFill="1" applyBorder="1" applyAlignment="1">
      <alignment vertical="center"/>
    </xf>
    <xf numFmtId="0" fontId="150" fillId="0" borderId="0" xfId="0" applyFont="1" applyAlignment="1">
      <alignment vertical="center"/>
    </xf>
    <xf numFmtId="0" fontId="150" fillId="0" borderId="139" xfId="0" applyFont="1" applyBorder="1" applyAlignment="1">
      <alignment vertical="center"/>
    </xf>
    <xf numFmtId="49" fontId="149" fillId="31" borderId="0" xfId="0" applyNumberFormat="1" applyFont="1" applyFill="1" applyAlignment="1">
      <alignment horizontal="right"/>
    </xf>
    <xf numFmtId="0" fontId="149" fillId="30" borderId="0" xfId="0" applyFont="1" applyFill="1" applyAlignment="1">
      <alignment horizontal="right"/>
    </xf>
    <xf numFmtId="0" fontId="11" fillId="31" borderId="0" xfId="0" applyFont="1" applyFill="1"/>
    <xf numFmtId="0" fontId="0" fillId="30" borderId="139" xfId="0" applyFill="1" applyBorder="1"/>
    <xf numFmtId="0" fontId="149" fillId="31" borderId="0" xfId="0" applyFont="1" applyFill="1" applyAlignment="1">
      <alignment horizontal="right"/>
    </xf>
    <xf numFmtId="0" fontId="111" fillId="30" borderId="0" xfId="0" applyFont="1" applyFill="1" applyAlignment="1">
      <alignment horizontal="right"/>
    </xf>
    <xf numFmtId="0" fontId="111" fillId="30" borderId="138" xfId="0" applyFont="1" applyFill="1" applyBorder="1" applyAlignment="1">
      <alignment vertical="center"/>
    </xf>
    <xf numFmtId="0" fontId="120" fillId="24" borderId="0" xfId="0" applyFont="1" applyFill="1" applyAlignment="1">
      <alignment horizontal="center" vertical="center"/>
    </xf>
    <xf numFmtId="0" fontId="120" fillId="19" borderId="0" xfId="0" applyFont="1" applyFill="1" applyAlignment="1">
      <alignment horizontal="center" vertical="center"/>
    </xf>
    <xf numFmtId="0" fontId="150" fillId="30" borderId="0" xfId="0" applyFont="1" applyFill="1" applyAlignment="1">
      <alignment vertical="center"/>
    </xf>
    <xf numFmtId="0" fontId="150" fillId="32" borderId="0" xfId="0" applyFont="1" applyFill="1" applyAlignment="1">
      <alignment horizontal="center" vertical="center"/>
    </xf>
    <xf numFmtId="0" fontId="145" fillId="32" borderId="0" xfId="0" applyFont="1" applyFill="1" applyAlignment="1">
      <alignment horizontal="center" vertical="center"/>
    </xf>
    <xf numFmtId="0" fontId="145" fillId="32" borderId="139" xfId="0" applyFont="1" applyFill="1" applyBorder="1" applyAlignment="1">
      <alignment horizontal="center" vertical="center"/>
    </xf>
    <xf numFmtId="0" fontId="91" fillId="0" borderId="144" xfId="0" applyFont="1" applyBorder="1" applyAlignment="1">
      <alignment vertical="center"/>
    </xf>
    <xf numFmtId="0" fontId="91" fillId="0" borderId="145" xfId="0" applyFont="1" applyBorder="1" applyAlignment="1">
      <alignment vertical="center"/>
    </xf>
    <xf numFmtId="0" fontId="91" fillId="0" borderId="146" xfId="0" applyFont="1" applyBorder="1" applyAlignment="1">
      <alignment vertical="center"/>
    </xf>
    <xf numFmtId="0" fontId="91" fillId="7" borderId="144" xfId="0" applyFont="1" applyFill="1" applyBorder="1" applyAlignment="1">
      <alignment horizontal="center" vertical="center"/>
    </xf>
    <xf numFmtId="0" fontId="91" fillId="7" borderId="145" xfId="0" applyFont="1" applyFill="1" applyBorder="1" applyAlignment="1">
      <alignment horizontal="center" vertical="center"/>
    </xf>
    <xf numFmtId="0" fontId="91" fillId="0" borderId="145" xfId="0" applyFont="1" applyBorder="1" applyAlignment="1">
      <alignment horizontal="center" vertical="center"/>
    </xf>
    <xf numFmtId="0" fontId="91" fillId="0" borderId="146" xfId="0" applyFont="1" applyBorder="1" applyAlignment="1">
      <alignment horizontal="center" vertical="center"/>
    </xf>
    <xf numFmtId="3" fontId="92" fillId="7" borderId="144" xfId="0" applyNumberFormat="1" applyFont="1" applyFill="1" applyBorder="1" applyAlignment="1">
      <alignment horizontal="center" vertical="center"/>
    </xf>
    <xf numFmtId="3" fontId="92" fillId="7" borderId="145" xfId="0" applyNumberFormat="1" applyFont="1" applyFill="1" applyBorder="1" applyAlignment="1">
      <alignment horizontal="center" vertical="center"/>
    </xf>
    <xf numFmtId="0" fontId="92" fillId="0" borderId="145" xfId="0" applyFont="1" applyBorder="1" applyAlignment="1">
      <alignment horizontal="center" vertical="center"/>
    </xf>
    <xf numFmtId="0" fontId="92" fillId="0" borderId="146" xfId="0" applyFont="1" applyBorder="1" applyAlignment="1">
      <alignment horizontal="center" vertical="center"/>
    </xf>
    <xf numFmtId="0" fontId="150" fillId="30" borderId="139" xfId="0" applyFont="1" applyFill="1" applyBorder="1" applyAlignment="1">
      <alignment vertical="center"/>
    </xf>
    <xf numFmtId="0" fontId="91" fillId="0" borderId="144" xfId="0" applyFont="1" applyBorder="1" applyAlignment="1" applyProtection="1">
      <alignment vertical="center"/>
      <protection locked="0"/>
    </xf>
    <xf numFmtId="0" fontId="149" fillId="7" borderId="0" xfId="0" applyFont="1" applyFill="1" applyAlignment="1">
      <alignment horizontal="center" vertical="center"/>
    </xf>
    <xf numFmtId="0" fontId="150" fillId="2" borderId="0" xfId="0" applyFont="1" applyFill="1" applyAlignment="1">
      <alignment vertical="top" wrapText="1"/>
    </xf>
    <xf numFmtId="0" fontId="145" fillId="7" borderId="0" xfId="0" applyFont="1" applyFill="1" applyAlignment="1">
      <alignment vertical="top"/>
    </xf>
    <xf numFmtId="0" fontId="150" fillId="7" borderId="0" xfId="0" applyFont="1" applyFill="1" applyAlignment="1">
      <alignment horizontal="right" vertical="center"/>
    </xf>
    <xf numFmtId="0" fontId="111" fillId="0" borderId="0" xfId="0" applyFont="1"/>
    <xf numFmtId="0" fontId="150" fillId="7" borderId="0" xfId="0" applyFont="1" applyFill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151" fillId="7" borderId="0" xfId="0" applyFont="1" applyFill="1" applyAlignment="1">
      <alignment horizontal="center" vertical="center"/>
    </xf>
    <xf numFmtId="0" fontId="152" fillId="29" borderId="146" xfId="0" applyFont="1" applyFill="1" applyBorder="1" applyAlignment="1">
      <alignment vertical="center"/>
    </xf>
    <xf numFmtId="0" fontId="143" fillId="7" borderId="135" xfId="0" applyFont="1" applyFill="1" applyBorder="1" applyAlignment="1">
      <alignment horizontal="center" vertical="center"/>
    </xf>
    <xf numFmtId="0" fontId="111" fillId="0" borderId="136" xfId="0" applyFont="1" applyBorder="1"/>
    <xf numFmtId="0" fontId="111" fillId="0" borderId="137" xfId="0" applyFont="1" applyBorder="1"/>
    <xf numFmtId="0" fontId="144" fillId="7" borderId="135" xfId="0" applyFont="1" applyFill="1" applyBorder="1" applyAlignment="1">
      <alignment horizontal="center"/>
    </xf>
    <xf numFmtId="0" fontId="145" fillId="0" borderId="136" xfId="0" applyFont="1" applyBorder="1" applyAlignment="1">
      <alignment horizontal="center"/>
    </xf>
    <xf numFmtId="0" fontId="145" fillId="0" borderId="137" xfId="0" applyFont="1" applyBorder="1" applyAlignment="1">
      <alignment horizontal="center"/>
    </xf>
    <xf numFmtId="0" fontId="145" fillId="0" borderId="138" xfId="0" applyFont="1" applyBorder="1" applyAlignment="1">
      <alignment horizontal="center"/>
    </xf>
    <xf numFmtId="0" fontId="145" fillId="0" borderId="0" xfId="0" applyFont="1" applyAlignment="1">
      <alignment horizontal="center"/>
    </xf>
    <xf numFmtId="0" fontId="145" fillId="0" borderId="139" xfId="0" applyFont="1" applyBorder="1" applyAlignment="1">
      <alignment horizontal="center"/>
    </xf>
    <xf numFmtId="0" fontId="145" fillId="0" borderId="138" xfId="0" applyFont="1" applyBorder="1"/>
    <xf numFmtId="0" fontId="145" fillId="0" borderId="0" xfId="0" applyFont="1"/>
    <xf numFmtId="0" fontId="145" fillId="0" borderId="139" xfId="0" applyFont="1" applyBorder="1"/>
    <xf numFmtId="0" fontId="145" fillId="0" borderId="140" xfId="0" applyFont="1" applyBorder="1"/>
    <xf numFmtId="0" fontId="145" fillId="0" borderId="141" xfId="0" applyFont="1" applyBorder="1"/>
    <xf numFmtId="0" fontId="145" fillId="0" borderId="142" xfId="0" applyFont="1" applyBorder="1"/>
    <xf numFmtId="0" fontId="143" fillId="7" borderId="138" xfId="0" applyFont="1" applyFill="1" applyBorder="1" applyAlignment="1">
      <alignment horizontal="center" vertical="center"/>
    </xf>
    <xf numFmtId="0" fontId="111" fillId="0" borderId="139" xfId="0" applyFont="1" applyBorder="1"/>
    <xf numFmtId="0" fontId="120" fillId="7" borderId="138" xfId="0" applyFont="1" applyFill="1" applyBorder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146" fillId="7" borderId="0" xfId="0" applyFont="1" applyFill="1" applyAlignment="1">
      <alignment horizontal="left" vertical="center"/>
    </xf>
    <xf numFmtId="0" fontId="147" fillId="0" borderId="0" xfId="0" applyFont="1" applyAlignment="1">
      <alignment horizontal="left"/>
    </xf>
    <xf numFmtId="0" fontId="148" fillId="7" borderId="140" xfId="0" applyFont="1" applyFill="1" applyBorder="1" applyAlignment="1">
      <alignment horizontal="center" vertical="center"/>
    </xf>
    <xf numFmtId="0" fontId="111" fillId="0" borderId="141" xfId="0" applyFont="1" applyBorder="1"/>
    <xf numFmtId="0" fontId="111" fillId="0" borderId="142" xfId="0" applyFont="1" applyBorder="1"/>
    <xf numFmtId="0" fontId="146" fillId="2" borderId="0" xfId="0" applyFont="1" applyFill="1" applyAlignment="1">
      <alignment vertical="center" wrapText="1"/>
    </xf>
    <xf numFmtId="0" fontId="0" fillId="7" borderId="0" xfId="0" applyFill="1"/>
    <xf numFmtId="0" fontId="153" fillId="31" borderId="0" xfId="0" applyFont="1" applyFill="1" applyAlignment="1">
      <alignment wrapText="1"/>
    </xf>
    <xf numFmtId="0" fontId="111" fillId="30" borderId="0" xfId="0" applyFont="1" applyFill="1" applyAlignment="1">
      <alignment wrapText="1"/>
    </xf>
    <xf numFmtId="0" fontId="150" fillId="31" borderId="0" xfId="0" applyFont="1" applyFill="1"/>
    <xf numFmtId="0" fontId="111" fillId="30" borderId="139" xfId="0" applyFont="1" applyFill="1" applyBorder="1"/>
    <xf numFmtId="49" fontId="163" fillId="7" borderId="144" xfId="0" applyNumberFormat="1" applyFont="1" applyFill="1" applyBorder="1" applyAlignment="1" applyProtection="1">
      <alignment horizontal="center" vertical="center"/>
      <protection locked="0"/>
    </xf>
    <xf numFmtId="49" fontId="91" fillId="0" borderId="145" xfId="0" applyNumberFormat="1" applyFont="1" applyBorder="1" applyAlignment="1" applyProtection="1">
      <alignment horizontal="center" vertical="center"/>
      <protection locked="0"/>
    </xf>
    <xf numFmtId="49" fontId="91" fillId="0" borderId="146" xfId="0" applyNumberFormat="1" applyFont="1" applyBorder="1" applyAlignment="1" applyProtection="1">
      <alignment horizontal="center" vertical="center"/>
      <protection locked="0"/>
    </xf>
    <xf numFmtId="0" fontId="150" fillId="31" borderId="140" xfId="0" applyFont="1" applyFill="1" applyBorder="1" applyAlignment="1">
      <alignment vertical="center"/>
    </xf>
    <xf numFmtId="0" fontId="145" fillId="30" borderId="141" xfId="0" applyFont="1" applyFill="1" applyBorder="1" applyAlignment="1">
      <alignment vertical="center"/>
    </xf>
    <xf numFmtId="0" fontId="0" fillId="0" borderId="141" xfId="0" applyBorder="1" applyAlignment="1">
      <alignment vertical="center"/>
    </xf>
    <xf numFmtId="0" fontId="91" fillId="7" borderId="144" xfId="0" applyFont="1" applyFill="1" applyBorder="1" applyAlignment="1" applyProtection="1">
      <alignment horizontal="left" vertical="center"/>
      <protection locked="0"/>
    </xf>
    <xf numFmtId="0" fontId="91" fillId="0" borderId="145" xfId="0" applyFont="1" applyBorder="1" applyAlignment="1" applyProtection="1">
      <alignment horizontal="left" vertical="center"/>
      <protection locked="0"/>
    </xf>
    <xf numFmtId="0" fontId="91" fillId="0" borderId="146" xfId="0" applyFont="1" applyBorder="1" applyAlignment="1" applyProtection="1">
      <alignment horizontal="left" vertical="center"/>
      <protection locked="0"/>
    </xf>
    <xf numFmtId="49" fontId="91" fillId="7" borderId="144" xfId="0" applyNumberFormat="1" applyFont="1" applyFill="1" applyBorder="1" applyAlignment="1" applyProtection="1">
      <alignment horizontal="left" vertical="center"/>
      <protection locked="0"/>
    </xf>
    <xf numFmtId="49" fontId="91" fillId="7" borderId="145" xfId="0" applyNumberFormat="1" applyFont="1" applyFill="1" applyBorder="1" applyAlignment="1" applyProtection="1">
      <alignment horizontal="left" vertical="center"/>
      <protection locked="0"/>
    </xf>
    <xf numFmtId="49" fontId="91" fillId="7" borderId="146" xfId="0" applyNumberFormat="1" applyFont="1" applyFill="1" applyBorder="1" applyAlignment="1" applyProtection="1">
      <alignment horizontal="left" vertical="center"/>
      <protection locked="0"/>
    </xf>
    <xf numFmtId="0" fontId="150" fillId="31" borderId="0" xfId="0" applyFont="1" applyFill="1" applyAlignment="1">
      <alignment horizontal="center" vertical="center"/>
    </xf>
    <xf numFmtId="0" fontId="150" fillId="31" borderId="139" xfId="0" applyFont="1" applyFill="1" applyBorder="1" applyAlignment="1">
      <alignment horizontal="center" vertical="center"/>
    </xf>
    <xf numFmtId="0" fontId="91" fillId="7" borderId="144" xfId="0" applyFont="1" applyFill="1" applyBorder="1" applyAlignment="1">
      <alignment vertical="center"/>
    </xf>
    <xf numFmtId="0" fontId="91" fillId="7" borderId="145" xfId="0" applyFont="1" applyFill="1" applyBorder="1" applyAlignment="1">
      <alignment vertical="center"/>
    </xf>
    <xf numFmtId="0" fontId="91" fillId="7" borderId="146" xfId="0" applyFont="1" applyFill="1" applyBorder="1" applyAlignment="1">
      <alignment vertical="center"/>
    </xf>
    <xf numFmtId="49" fontId="91" fillId="7" borderId="144" xfId="0" applyNumberFormat="1" applyFont="1" applyFill="1" applyBorder="1" applyAlignment="1">
      <alignment horizontal="center" vertical="center"/>
    </xf>
    <xf numFmtId="49" fontId="91" fillId="7" borderId="145" xfId="0" applyNumberFormat="1" applyFont="1" applyFill="1" applyBorder="1" applyAlignment="1">
      <alignment horizontal="center" vertical="center"/>
    </xf>
    <xf numFmtId="49" fontId="91" fillId="7" borderId="146" xfId="0" applyNumberFormat="1" applyFont="1" applyFill="1" applyBorder="1" applyAlignment="1">
      <alignment horizontal="center" vertical="center"/>
    </xf>
    <xf numFmtId="0" fontId="111" fillId="31" borderId="0" xfId="0" applyFont="1" applyFill="1"/>
    <xf numFmtId="0" fontId="0" fillId="31" borderId="140" xfId="0" applyFill="1" applyBorder="1"/>
    <xf numFmtId="0" fontId="120" fillId="32" borderId="138" xfId="0" applyFont="1" applyFill="1" applyBorder="1" applyAlignment="1">
      <alignment vertical="center"/>
    </xf>
    <xf numFmtId="0" fontId="111" fillId="32" borderId="0" xfId="0" applyFont="1" applyFill="1" applyAlignment="1">
      <alignment vertical="center"/>
    </xf>
    <xf numFmtId="0" fontId="111" fillId="32" borderId="139" xfId="0" applyFont="1" applyFill="1" applyBorder="1" applyAlignment="1">
      <alignment vertical="center"/>
    </xf>
    <xf numFmtId="0" fontId="150" fillId="32" borderId="136" xfId="0" applyFont="1" applyFill="1" applyBorder="1" applyAlignment="1">
      <alignment horizontal="right" vertical="center"/>
    </xf>
    <xf numFmtId="0" fontId="111" fillId="17" borderId="136" xfId="0" applyFont="1" applyFill="1" applyBorder="1" applyAlignment="1">
      <alignment vertical="center"/>
    </xf>
    <xf numFmtId="0" fontId="111" fillId="17" borderId="137" xfId="0" applyFont="1" applyFill="1" applyBorder="1" applyAlignment="1">
      <alignment vertical="center"/>
    </xf>
    <xf numFmtId="0" fontId="157" fillId="17" borderId="0" xfId="0" applyFont="1" applyFill="1" applyAlignment="1">
      <alignment vertical="center"/>
    </xf>
    <xf numFmtId="0" fontId="120" fillId="32" borderId="0" xfId="0" applyFont="1" applyFill="1" applyAlignment="1">
      <alignment vertical="center"/>
    </xf>
    <xf numFmtId="0" fontId="111" fillId="17" borderId="0" xfId="0" applyFont="1" applyFill="1" applyAlignment="1">
      <alignment vertical="center"/>
    </xf>
    <xf numFmtId="0" fontId="111" fillId="17" borderId="139" xfId="0" applyFont="1" applyFill="1" applyBorder="1" applyAlignment="1">
      <alignment vertical="center"/>
    </xf>
    <xf numFmtId="0" fontId="149" fillId="32" borderId="0" xfId="0" applyFont="1" applyFill="1" applyAlignment="1">
      <alignment vertical="center"/>
    </xf>
    <xf numFmtId="3" fontId="91" fillId="35" borderId="144" xfId="0" applyNumberFormat="1" applyFont="1" applyFill="1" applyBorder="1" applyAlignment="1" applyProtection="1">
      <alignment vertical="center"/>
      <protection locked="0"/>
    </xf>
    <xf numFmtId="3" fontId="91" fillId="35" borderId="145" xfId="0" applyNumberFormat="1" applyFont="1" applyFill="1" applyBorder="1" applyAlignment="1" applyProtection="1">
      <alignment vertical="center"/>
      <protection locked="0"/>
    </xf>
    <xf numFmtId="3" fontId="91" fillId="35" borderId="146" xfId="0" applyNumberFormat="1" applyFont="1" applyFill="1" applyBorder="1" applyAlignment="1" applyProtection="1">
      <alignment vertical="center"/>
      <protection locked="0"/>
    </xf>
    <xf numFmtId="0" fontId="152" fillId="29" borderId="143" xfId="0" applyFont="1" applyFill="1" applyBorder="1" applyAlignment="1">
      <alignment vertical="center"/>
    </xf>
    <xf numFmtId="0" fontId="154" fillId="33" borderId="143" xfId="0" applyFont="1" applyFill="1" applyBorder="1" applyAlignment="1">
      <alignment vertical="center"/>
    </xf>
    <xf numFmtId="0" fontId="2" fillId="31" borderId="0" xfId="0" applyFont="1" applyFill="1"/>
    <xf numFmtId="4" fontId="91" fillId="7" borderId="144" xfId="0" applyNumberFormat="1" applyFont="1" applyFill="1" applyBorder="1" applyAlignment="1" applyProtection="1">
      <alignment vertical="center"/>
      <protection locked="0"/>
    </xf>
    <xf numFmtId="4" fontId="91" fillId="7" borderId="145" xfId="0" applyNumberFormat="1" applyFont="1" applyFill="1" applyBorder="1" applyAlignment="1" applyProtection="1">
      <alignment vertical="center"/>
      <protection locked="0"/>
    </xf>
    <xf numFmtId="4" fontId="91" fillId="7" borderId="146" xfId="0" applyNumberFormat="1" applyFont="1" applyFill="1" applyBorder="1" applyAlignment="1" applyProtection="1">
      <alignment vertical="center"/>
      <protection locked="0"/>
    </xf>
    <xf numFmtId="3" fontId="91" fillId="7" borderId="145" xfId="0" applyNumberFormat="1" applyFont="1" applyFill="1" applyBorder="1" applyAlignment="1" applyProtection="1">
      <alignment vertical="center"/>
      <protection locked="0"/>
    </xf>
    <xf numFmtId="3" fontId="91" fillId="7" borderId="146" xfId="0" applyNumberFormat="1" applyFont="1" applyFill="1" applyBorder="1" applyAlignment="1" applyProtection="1">
      <alignment vertical="center"/>
      <protection locked="0"/>
    </xf>
    <xf numFmtId="0" fontId="89" fillId="7" borderId="0" xfId="0" applyFont="1" applyFill="1" applyAlignment="1">
      <alignment horizontal="center"/>
    </xf>
    <xf numFmtId="0" fontId="77" fillId="16" borderId="152" xfId="0" applyFont="1" applyFill="1" applyBorder="1" applyAlignment="1">
      <alignment vertical="center"/>
    </xf>
    <xf numFmtId="0" fontId="0" fillId="0" borderId="153" xfId="0" applyBorder="1" applyAlignment="1">
      <alignment vertical="center"/>
    </xf>
    <xf numFmtId="0" fontId="0" fillId="0" borderId="84" xfId="0" applyBorder="1" applyAlignment="1">
      <alignment vertical="center"/>
    </xf>
    <xf numFmtId="0" fontId="0" fillId="0" borderId="88" xfId="0" applyBorder="1" applyAlignment="1">
      <alignment vertical="center"/>
    </xf>
    <xf numFmtId="0" fontId="78" fillId="7" borderId="159" xfId="0" applyFont="1" applyFill="1" applyBorder="1" applyAlignment="1">
      <alignment vertical="center" wrapText="1"/>
    </xf>
    <xf numFmtId="0" fontId="0" fillId="0" borderId="0" xfId="0" applyBorder="1"/>
    <xf numFmtId="0" fontId="0" fillId="0" borderId="159" xfId="0" applyBorder="1"/>
    <xf numFmtId="0" fontId="78" fillId="7" borderId="155" xfId="0" applyFont="1" applyFill="1" applyBorder="1" applyAlignment="1" applyProtection="1">
      <alignment horizontal="center"/>
      <protection locked="0"/>
    </xf>
    <xf numFmtId="0" fontId="78" fillId="7" borderId="150" xfId="0" applyFont="1" applyFill="1" applyBorder="1" applyAlignment="1" applyProtection="1">
      <alignment horizontal="center"/>
      <protection locked="0"/>
    </xf>
    <xf numFmtId="0" fontId="78" fillId="7" borderId="156" xfId="0" applyFont="1" applyFill="1" applyBorder="1" applyAlignment="1" applyProtection="1">
      <alignment horizontal="center"/>
      <protection locked="0"/>
    </xf>
    <xf numFmtId="0" fontId="78" fillId="7" borderId="159" xfId="0" applyFont="1" applyFill="1" applyBorder="1" applyAlignment="1" applyProtection="1">
      <alignment horizontal="center"/>
      <protection locked="0"/>
    </xf>
    <xf numFmtId="0" fontId="78" fillId="7" borderId="0" xfId="0" applyFont="1" applyFill="1" applyBorder="1" applyAlignment="1" applyProtection="1">
      <alignment horizontal="center"/>
      <protection locked="0"/>
    </xf>
    <xf numFmtId="0" fontId="78" fillId="7" borderId="62" xfId="0" applyFont="1" applyFill="1" applyBorder="1" applyAlignment="1" applyProtection="1">
      <alignment horizontal="center"/>
      <protection locked="0"/>
    </xf>
    <xf numFmtId="0" fontId="78" fillId="7" borderId="90" xfId="0" applyFont="1" applyFill="1" applyBorder="1" applyAlignment="1" applyProtection="1">
      <alignment horizontal="center"/>
      <protection locked="0"/>
    </xf>
    <xf numFmtId="0" fontId="78" fillId="7" borderId="84" xfId="0" applyFont="1" applyFill="1" applyBorder="1" applyAlignment="1" applyProtection="1">
      <alignment horizontal="center"/>
      <protection locked="0"/>
    </xf>
    <xf numFmtId="0" fontId="78" fillId="7" borderId="88" xfId="0" applyFont="1" applyFill="1" applyBorder="1" applyAlignment="1" applyProtection="1">
      <alignment horizontal="center"/>
      <protection locked="0"/>
    </xf>
    <xf numFmtId="0" fontId="0" fillId="7" borderId="159" xfId="0" applyFill="1" applyBorder="1"/>
    <xf numFmtId="0" fontId="0" fillId="7" borderId="0" xfId="0" applyFill="1" applyBorder="1"/>
    <xf numFmtId="0" fontId="0" fillId="7" borderId="62" xfId="0" applyFill="1" applyBorder="1"/>
    <xf numFmtId="0" fontId="62" fillId="7" borderId="0" xfId="0" applyFont="1" applyFill="1" applyBorder="1" applyAlignment="1">
      <alignment horizontal="center"/>
    </xf>
    <xf numFmtId="0" fontId="158" fillId="24" borderId="150" xfId="0" applyFont="1" applyFill="1" applyBorder="1" applyAlignment="1">
      <alignment horizontal="right" vertical="center"/>
    </xf>
    <xf numFmtId="0" fontId="3" fillId="19" borderId="150" xfId="0" applyFont="1" applyFill="1" applyBorder="1" applyAlignment="1">
      <alignment vertical="center"/>
    </xf>
    <xf numFmtId="0" fontId="3" fillId="19" borderId="161" xfId="0" applyFont="1" applyFill="1" applyBorder="1" applyAlignment="1">
      <alignment vertical="center"/>
    </xf>
    <xf numFmtId="0" fontId="74" fillId="24" borderId="0" xfId="0" applyFont="1" applyFill="1" applyBorder="1" applyAlignment="1">
      <alignment vertical="center"/>
    </xf>
    <xf numFmtId="0" fontId="95" fillId="19" borderId="0" xfId="0" applyFont="1" applyFill="1" applyBorder="1" applyAlignment="1">
      <alignment vertical="center"/>
    </xf>
    <xf numFmtId="4" fontId="91" fillId="24" borderId="151" xfId="0" applyNumberFormat="1" applyFont="1" applyFill="1" applyBorder="1" applyAlignment="1">
      <alignment vertical="center"/>
    </xf>
    <xf numFmtId="4" fontId="91" fillId="24" borderId="107" xfId="0" applyNumberFormat="1" applyFont="1" applyFill="1" applyBorder="1" applyAlignment="1">
      <alignment vertical="center"/>
    </xf>
    <xf numFmtId="4" fontId="91" fillId="24" borderId="108" xfId="0" applyNumberFormat="1" applyFont="1" applyFill="1" applyBorder="1" applyAlignment="1">
      <alignment vertical="center"/>
    </xf>
    <xf numFmtId="0" fontId="2" fillId="24" borderId="0" xfId="0" applyFont="1" applyFill="1" applyBorder="1" applyAlignment="1">
      <alignment vertical="center"/>
    </xf>
    <xf numFmtId="0" fontId="3" fillId="19" borderId="0" xfId="0" applyFont="1" applyFill="1" applyBorder="1" applyAlignment="1">
      <alignment vertical="center"/>
    </xf>
    <xf numFmtId="14" fontId="91" fillId="7" borderId="155" xfId="0" applyNumberFormat="1" applyFont="1" applyFill="1" applyBorder="1" applyAlignment="1" applyProtection="1">
      <alignment horizontal="center" vertical="center"/>
      <protection locked="0"/>
    </xf>
    <xf numFmtId="0" fontId="0" fillId="0" borderId="150" xfId="0" applyBorder="1" applyAlignment="1">
      <alignment horizontal="center" vertical="center"/>
    </xf>
    <xf numFmtId="0" fontId="0" fillId="0" borderId="156" xfId="0" applyBorder="1" applyAlignment="1">
      <alignment horizontal="center" vertical="center"/>
    </xf>
    <xf numFmtId="0" fontId="0" fillId="0" borderId="90" xfId="0" applyBorder="1"/>
    <xf numFmtId="0" fontId="0" fillId="0" borderId="84" xfId="0" applyBorder="1"/>
    <xf numFmtId="0" fontId="0" fillId="0" borderId="88" xfId="0" applyBorder="1"/>
    <xf numFmtId="0" fontId="89" fillId="7" borderId="90" xfId="0" applyFont="1" applyFill="1" applyBorder="1" applyAlignment="1">
      <alignment horizontal="center"/>
    </xf>
    <xf numFmtId="0" fontId="89" fillId="7" borderId="150" xfId="0" applyFont="1" applyFill="1" applyBorder="1" applyAlignment="1">
      <alignment horizontal="center"/>
    </xf>
    <xf numFmtId="0" fontId="0" fillId="0" borderId="150" xfId="0" applyBorder="1"/>
    <xf numFmtId="0" fontId="58" fillId="24" borderId="0" xfId="0" applyFont="1" applyFill="1" applyBorder="1" applyAlignment="1">
      <alignment vertical="center"/>
    </xf>
    <xf numFmtId="0" fontId="3" fillId="24" borderId="0" xfId="0" applyFont="1" applyFill="1" applyBorder="1" applyAlignment="1">
      <alignment vertical="center"/>
    </xf>
    <xf numFmtId="3" fontId="91" fillId="24" borderId="151" xfId="0" applyNumberFormat="1" applyFont="1" applyFill="1" applyBorder="1" applyAlignment="1" applyProtection="1">
      <alignment vertical="center"/>
      <protection locked="0"/>
    </xf>
    <xf numFmtId="3" fontId="91" fillId="24" borderId="107" xfId="0" applyNumberFormat="1" applyFont="1" applyFill="1" applyBorder="1" applyAlignment="1" applyProtection="1">
      <alignment vertical="center"/>
      <protection locked="0"/>
    </xf>
    <xf numFmtId="3" fontId="91" fillId="24" borderId="108" xfId="0" applyNumberFormat="1" applyFont="1" applyFill="1" applyBorder="1" applyAlignment="1" applyProtection="1">
      <alignment vertical="center"/>
      <protection locked="0"/>
    </xf>
    <xf numFmtId="0" fontId="3" fillId="24" borderId="62" xfId="0" applyFont="1" applyFill="1" applyBorder="1" applyAlignment="1">
      <alignment vertical="center"/>
    </xf>
    <xf numFmtId="0" fontId="3" fillId="24" borderId="159" xfId="0" applyFont="1" applyFill="1" applyBorder="1"/>
    <xf numFmtId="0" fontId="3" fillId="19" borderId="0" xfId="0" applyFont="1" applyFill="1" applyBorder="1"/>
    <xf numFmtId="0" fontId="0" fillId="24" borderId="123" xfId="0" applyFill="1" applyBorder="1" applyAlignment="1">
      <alignment vertical="center"/>
    </xf>
    <xf numFmtId="0" fontId="0" fillId="19" borderId="124" xfId="0" applyFill="1" applyBorder="1" applyAlignment="1">
      <alignment vertical="center"/>
    </xf>
    <xf numFmtId="0" fontId="0" fillId="19" borderId="164" xfId="0" applyFill="1" applyBorder="1" applyAlignment="1">
      <alignment vertical="center"/>
    </xf>
    <xf numFmtId="0" fontId="158" fillId="24" borderId="159" xfId="0" applyFont="1" applyFill="1" applyBorder="1" applyAlignment="1">
      <alignment horizontal="right" vertical="center"/>
    </xf>
    <xf numFmtId="0" fontId="158" fillId="24" borderId="121" xfId="0" applyFont="1" applyFill="1" applyBorder="1" applyAlignment="1">
      <alignment horizontal="right" vertical="center"/>
    </xf>
    <xf numFmtId="0" fontId="158" fillId="24" borderId="0" xfId="0" applyFont="1" applyFill="1" applyBorder="1" applyAlignment="1">
      <alignment horizontal="right" vertical="center"/>
    </xf>
    <xf numFmtId="0" fontId="158" fillId="24" borderId="62" xfId="0" applyFont="1" applyFill="1" applyBorder="1" applyAlignment="1">
      <alignment horizontal="right" vertical="center"/>
    </xf>
    <xf numFmtId="0" fontId="2" fillId="38" borderId="162" xfId="0" applyFont="1" applyFill="1" applyBorder="1" applyAlignment="1">
      <alignment vertical="center"/>
    </xf>
    <xf numFmtId="0" fontId="2" fillId="38" borderId="153" xfId="0" applyFont="1" applyFill="1" applyBorder="1" applyAlignment="1">
      <alignment vertical="center"/>
    </xf>
    <xf numFmtId="0" fontId="2" fillId="38" borderId="84" xfId="0" applyFont="1" applyFill="1" applyBorder="1" applyAlignment="1">
      <alignment vertical="center"/>
    </xf>
    <xf numFmtId="0" fontId="3" fillId="22" borderId="153" xfId="0" applyFont="1" applyFill="1" applyBorder="1" applyAlignment="1">
      <alignment vertical="center"/>
    </xf>
    <xf numFmtId="0" fontId="3" fillId="22" borderId="154" xfId="0" applyFont="1" applyFill="1" applyBorder="1" applyAlignment="1">
      <alignment vertical="center"/>
    </xf>
    <xf numFmtId="0" fontId="0" fillId="24" borderId="159" xfId="0" applyFill="1" applyBorder="1" applyAlignment="1">
      <alignment vertical="center"/>
    </xf>
    <xf numFmtId="0" fontId="95" fillId="24" borderId="0" xfId="0" applyFont="1" applyFill="1" applyBorder="1" applyAlignment="1">
      <alignment vertical="center"/>
    </xf>
    <xf numFmtId="0" fontId="95" fillId="24" borderId="62" xfId="0" applyFont="1" applyFill="1" applyBorder="1" applyAlignment="1">
      <alignment vertical="center"/>
    </xf>
    <xf numFmtId="3" fontId="91" fillId="24" borderId="151" xfId="0" applyNumberFormat="1" applyFont="1" applyFill="1" applyBorder="1" applyAlignment="1">
      <alignment vertical="center"/>
    </xf>
    <xf numFmtId="3" fontId="91" fillId="24" borderId="107" xfId="0" applyNumberFormat="1" applyFont="1" applyFill="1" applyBorder="1" applyAlignment="1">
      <alignment vertical="center"/>
    </xf>
    <xf numFmtId="3" fontId="91" fillId="24" borderId="108" xfId="0" applyNumberFormat="1" applyFont="1" applyFill="1" applyBorder="1" applyAlignment="1">
      <alignment vertical="center"/>
    </xf>
    <xf numFmtId="0" fontId="158" fillId="24" borderId="0" xfId="0" applyFont="1" applyFill="1" applyBorder="1" applyAlignment="1">
      <alignment horizontal="left" vertical="center"/>
    </xf>
    <xf numFmtId="0" fontId="0" fillId="19" borderId="107" xfId="0" applyFill="1" applyBorder="1" applyAlignment="1">
      <alignment vertical="center"/>
    </xf>
    <xf numFmtId="0" fontId="0" fillId="19" borderId="108" xfId="0" applyFill="1" applyBorder="1" applyAlignment="1">
      <alignment vertical="center"/>
    </xf>
    <xf numFmtId="0" fontId="3" fillId="24" borderId="121" xfId="0" applyFont="1" applyFill="1" applyBorder="1" applyAlignment="1">
      <alignment vertical="center"/>
    </xf>
    <xf numFmtId="0" fontId="11" fillId="24" borderId="0" xfId="0" applyFont="1" applyFill="1" applyBorder="1" applyAlignment="1">
      <alignment vertical="center"/>
    </xf>
    <xf numFmtId="0" fontId="3" fillId="19" borderId="62" xfId="0" applyFont="1" applyFill="1" applyBorder="1" applyAlignment="1">
      <alignment vertical="center"/>
    </xf>
    <xf numFmtId="0" fontId="91" fillId="7" borderId="151" xfId="0" applyFont="1" applyFill="1" applyBorder="1" applyAlignment="1" applyProtection="1">
      <alignment horizontal="center" vertical="center"/>
      <protection locked="0"/>
    </xf>
    <xf numFmtId="0" fontId="91" fillId="7" borderId="108" xfId="0" applyFont="1" applyFill="1" applyBorder="1" applyAlignment="1" applyProtection="1">
      <alignment horizontal="center" vertical="center"/>
      <protection locked="0"/>
    </xf>
    <xf numFmtId="0" fontId="0" fillId="24" borderId="0" xfId="0" applyFill="1" applyBorder="1" applyAlignment="1">
      <alignment vertical="center"/>
    </xf>
    <xf numFmtId="0" fontId="2" fillId="24" borderId="62" xfId="0" applyFont="1" applyFill="1" applyBorder="1" applyAlignment="1">
      <alignment vertical="center"/>
    </xf>
    <xf numFmtId="0" fontId="158" fillId="24" borderId="0" xfId="0" applyFont="1" applyFill="1" applyBorder="1" applyAlignment="1">
      <alignment horizontal="right"/>
    </xf>
    <xf numFmtId="0" fontId="31" fillId="19" borderId="0" xfId="0" applyFont="1" applyFill="1" applyBorder="1" applyAlignment="1">
      <alignment horizontal="right"/>
    </xf>
    <xf numFmtId="0" fontId="58" fillId="24" borderId="62" xfId="0" applyFont="1" applyFill="1" applyBorder="1" applyAlignment="1">
      <alignment vertical="center"/>
    </xf>
    <xf numFmtId="3" fontId="91" fillId="7" borderId="151" xfId="0" applyNumberFormat="1" applyFont="1" applyFill="1" applyBorder="1" applyAlignment="1" applyProtection="1">
      <alignment vertical="center"/>
      <protection locked="0"/>
    </xf>
    <xf numFmtId="0" fontId="91" fillId="7" borderId="107" xfId="0" applyFont="1" applyFill="1" applyBorder="1" applyAlignment="1" applyProtection="1">
      <alignment vertical="center"/>
      <protection locked="0"/>
    </xf>
    <xf numFmtId="0" fontId="91" fillId="7" borderId="108" xfId="0" applyFont="1" applyFill="1" applyBorder="1" applyAlignment="1" applyProtection="1">
      <alignment vertical="center"/>
      <protection locked="0"/>
    </xf>
    <xf numFmtId="0" fontId="31" fillId="19" borderId="0" xfId="0" applyFont="1" applyFill="1" applyBorder="1" applyAlignment="1">
      <alignment horizontal="right" vertical="center"/>
    </xf>
    <xf numFmtId="0" fontId="158" fillId="24" borderId="121" xfId="0" applyFont="1" applyFill="1" applyBorder="1" applyAlignment="1">
      <alignment horizontal="right"/>
    </xf>
    <xf numFmtId="0" fontId="158" fillId="24" borderId="62" xfId="0" applyFont="1" applyFill="1" applyBorder="1" applyAlignment="1">
      <alignment horizontal="right"/>
    </xf>
    <xf numFmtId="3" fontId="91" fillId="7" borderId="107" xfId="0" applyNumberFormat="1" applyFont="1" applyFill="1" applyBorder="1" applyAlignment="1" applyProtection="1">
      <alignment vertical="center"/>
      <protection locked="0"/>
    </xf>
    <xf numFmtId="3" fontId="91" fillId="7" borderId="108" xfId="0" applyNumberFormat="1" applyFont="1" applyFill="1" applyBorder="1" applyAlignment="1" applyProtection="1">
      <alignment vertical="center"/>
      <protection locked="0"/>
    </xf>
    <xf numFmtId="0" fontId="2" fillId="38" borderId="163" xfId="0" applyFont="1" applyFill="1" applyBorder="1" applyAlignment="1">
      <alignment vertical="center"/>
    </xf>
    <xf numFmtId="0" fontId="3" fillId="22" borderId="105" xfId="0" applyFont="1" applyFill="1" applyBorder="1" applyAlignment="1">
      <alignment vertical="center"/>
    </xf>
    <xf numFmtId="0" fontId="2" fillId="38" borderId="105" xfId="0" applyFont="1" applyFill="1" applyBorder="1" applyAlignment="1">
      <alignment vertical="center"/>
    </xf>
    <xf numFmtId="0" fontId="3" fillId="22" borderId="165" xfId="0" applyFont="1" applyFill="1" applyBorder="1" applyAlignment="1">
      <alignment vertical="center"/>
    </xf>
    <xf numFmtId="0" fontId="158" fillId="24" borderId="109" xfId="0" applyFont="1" applyFill="1" applyBorder="1" applyAlignment="1">
      <alignment horizontal="right"/>
    </xf>
    <xf numFmtId="0" fontId="158" fillId="24" borderId="110" xfId="0" applyFont="1" applyFill="1" applyBorder="1" applyAlignment="1">
      <alignment horizontal="right"/>
    </xf>
    <xf numFmtId="0" fontId="158" fillId="24" borderId="166" xfId="0" applyFont="1" applyFill="1" applyBorder="1" applyAlignment="1">
      <alignment horizontal="right"/>
    </xf>
    <xf numFmtId="0" fontId="2" fillId="24" borderId="0" xfId="0" applyFont="1" applyFill="1" applyBorder="1"/>
    <xf numFmtId="0" fontId="158" fillId="24" borderId="0" xfId="0" applyFont="1" applyFill="1" applyBorder="1"/>
    <xf numFmtId="0" fontId="3" fillId="24" borderId="0" xfId="0" applyFont="1" applyFill="1" applyBorder="1"/>
    <xf numFmtId="4" fontId="91" fillId="7" borderId="151" xfId="0" applyNumberFormat="1" applyFont="1" applyFill="1" applyBorder="1" applyAlignment="1" applyProtection="1">
      <alignment vertical="center"/>
      <protection locked="0"/>
    </xf>
    <xf numFmtId="4" fontId="91" fillId="7" borderId="107" xfId="0" applyNumberFormat="1" applyFont="1" applyFill="1" applyBorder="1" applyAlignment="1" applyProtection="1">
      <alignment vertical="center"/>
      <protection locked="0"/>
    </xf>
    <xf numFmtId="4" fontId="91" fillId="7" borderId="108" xfId="0" applyNumberFormat="1" applyFont="1" applyFill="1" applyBorder="1" applyAlignment="1" applyProtection="1">
      <alignment vertical="center"/>
      <protection locked="0"/>
    </xf>
    <xf numFmtId="0" fontId="88" fillId="7" borderId="155" xfId="0" applyFont="1" applyFill="1" applyBorder="1" applyAlignment="1">
      <alignment vertical="center"/>
    </xf>
    <xf numFmtId="0" fontId="88" fillId="7" borderId="150" xfId="0" applyFont="1" applyFill="1" applyBorder="1" applyAlignment="1">
      <alignment vertical="center"/>
    </xf>
    <xf numFmtId="0" fontId="88" fillId="7" borderId="84" xfId="0" applyFont="1" applyFill="1" applyBorder="1" applyAlignment="1">
      <alignment vertical="center"/>
    </xf>
    <xf numFmtId="0" fontId="88" fillId="7" borderId="84" xfId="0" applyFont="1" applyFill="1" applyBorder="1" applyAlignment="1">
      <alignment horizontal="center" vertical="center"/>
    </xf>
    <xf numFmtId="0" fontId="88" fillId="7" borderId="88" xfId="0" applyFont="1" applyFill="1" applyBorder="1" applyAlignment="1">
      <alignment horizontal="center" vertical="center"/>
    </xf>
    <xf numFmtId="0" fontId="91" fillId="7" borderId="152" xfId="0" applyFont="1" applyFill="1" applyBorder="1" applyAlignment="1">
      <alignment horizontal="center" vertical="center"/>
    </xf>
    <xf numFmtId="0" fontId="91" fillId="0" borderId="153" xfId="0" applyFont="1" applyBorder="1" applyAlignment="1">
      <alignment horizontal="center" vertical="center"/>
    </xf>
    <xf numFmtId="0" fontId="91" fillId="0" borderId="154" xfId="0" applyFont="1" applyBorder="1" applyAlignment="1">
      <alignment horizontal="center" vertical="center"/>
    </xf>
    <xf numFmtId="0" fontId="91" fillId="7" borderId="152" xfId="0" applyFont="1" applyFill="1" applyBorder="1" applyAlignment="1">
      <alignment vertical="center"/>
    </xf>
    <xf numFmtId="0" fontId="91" fillId="7" borderId="153" xfId="0" applyFont="1" applyFill="1" applyBorder="1" applyAlignment="1">
      <alignment vertical="center"/>
    </xf>
    <xf numFmtId="0" fontId="91" fillId="7" borderId="154" xfId="0" applyFont="1" applyFill="1" applyBorder="1" applyAlignment="1">
      <alignment vertical="center"/>
    </xf>
    <xf numFmtId="49" fontId="91" fillId="7" borderId="152" xfId="0" applyNumberFormat="1" applyFont="1" applyFill="1" applyBorder="1" applyAlignment="1">
      <alignment horizontal="center" vertical="center"/>
    </xf>
    <xf numFmtId="49" fontId="91" fillId="7" borderId="153" xfId="0" applyNumberFormat="1" applyFont="1" applyFill="1" applyBorder="1" applyAlignment="1">
      <alignment horizontal="center" vertical="center"/>
    </xf>
    <xf numFmtId="49" fontId="91" fillId="7" borderId="154" xfId="0" applyNumberFormat="1" applyFont="1" applyFill="1" applyBorder="1" applyAlignment="1">
      <alignment horizontal="center" vertical="center"/>
    </xf>
    <xf numFmtId="49" fontId="58" fillId="24" borderId="0" xfId="0" applyNumberFormat="1" applyFont="1" applyFill="1" applyBorder="1" applyAlignment="1">
      <alignment horizontal="right"/>
    </xf>
    <xf numFmtId="0" fontId="58" fillId="19" borderId="0" xfId="0" applyFont="1" applyFill="1" applyBorder="1" applyAlignment="1">
      <alignment horizontal="right"/>
    </xf>
    <xf numFmtId="0" fontId="11" fillId="24" borderId="0" xfId="0" applyFont="1" applyFill="1" applyBorder="1"/>
    <xf numFmtId="0" fontId="88" fillId="7" borderId="159" xfId="0" applyFont="1" applyFill="1" applyBorder="1" applyAlignment="1">
      <alignment vertical="center"/>
    </xf>
    <xf numFmtId="0" fontId="88" fillId="7" borderId="0" xfId="0" applyFont="1" applyFill="1" applyBorder="1" applyAlignment="1">
      <alignment vertical="center"/>
    </xf>
    <xf numFmtId="0" fontId="88" fillId="7" borderId="62" xfId="0" applyFont="1" applyFill="1" applyBorder="1" applyAlignment="1">
      <alignment vertical="center"/>
    </xf>
    <xf numFmtId="0" fontId="91" fillId="7" borderId="152" xfId="0" applyFont="1" applyFill="1" applyBorder="1" applyAlignment="1" applyProtection="1">
      <alignment vertical="center"/>
      <protection locked="0"/>
    </xf>
    <xf numFmtId="0" fontId="91" fillId="0" borderId="153" xfId="0" applyFont="1" applyBorder="1" applyAlignment="1" applyProtection="1">
      <alignment vertical="center"/>
      <protection locked="0"/>
    </xf>
    <xf numFmtId="0" fontId="91" fillId="0" borderId="154" xfId="0" applyFont="1" applyBorder="1" applyAlignment="1" applyProtection="1">
      <alignment vertical="center"/>
      <protection locked="0"/>
    </xf>
    <xf numFmtId="0" fontId="0" fillId="7" borderId="155" xfId="0" applyFill="1" applyBorder="1"/>
    <xf numFmtId="0" fontId="0" fillId="7" borderId="150" xfId="0" applyFill="1" applyBorder="1"/>
    <xf numFmtId="0" fontId="0" fillId="7" borderId="156" xfId="0" applyFill="1" applyBorder="1"/>
    <xf numFmtId="0" fontId="77" fillId="16" borderId="153" xfId="0" applyFont="1" applyFill="1" applyBorder="1" applyAlignment="1">
      <alignment vertical="center"/>
    </xf>
    <xf numFmtId="0" fontId="0" fillId="0" borderId="154" xfId="0" applyBorder="1" applyAlignment="1">
      <alignment vertical="center"/>
    </xf>
    <xf numFmtId="0" fontId="58" fillId="24" borderId="135" xfId="0" applyFont="1" applyFill="1" applyBorder="1" applyAlignment="1">
      <alignment vertical="center"/>
    </xf>
    <xf numFmtId="0" fontId="3" fillId="19" borderId="136" xfId="0" applyFont="1" applyFill="1" applyBorder="1" applyAlignment="1">
      <alignment vertical="center"/>
    </xf>
    <xf numFmtId="0" fontId="111" fillId="19" borderId="160" xfId="0" applyFont="1" applyFill="1" applyBorder="1" applyAlignment="1">
      <alignment vertical="center"/>
    </xf>
    <xf numFmtId="0" fontId="0" fillId="19" borderId="150" xfId="0" applyFill="1" applyBorder="1"/>
    <xf numFmtId="0" fontId="0" fillId="19" borderId="156" xfId="0" applyFill="1" applyBorder="1"/>
    <xf numFmtId="0" fontId="158" fillId="19" borderId="0" xfId="0" applyFont="1" applyFill="1" applyBorder="1" applyAlignment="1">
      <alignment vertical="center"/>
    </xf>
    <xf numFmtId="0" fontId="158" fillId="19" borderId="62" xfId="0" applyFont="1" applyFill="1" applyBorder="1" applyAlignment="1">
      <alignment vertical="center"/>
    </xf>
    <xf numFmtId="0" fontId="158" fillId="24" borderId="138" xfId="0" applyFont="1" applyFill="1" applyBorder="1" applyAlignment="1">
      <alignment vertical="center"/>
    </xf>
    <xf numFmtId="0" fontId="31" fillId="19" borderId="0" xfId="0" applyFont="1" applyFill="1" applyBorder="1" applyAlignment="1">
      <alignment vertical="center"/>
    </xf>
    <xf numFmtId="0" fontId="91" fillId="7" borderId="151" xfId="0" applyFont="1" applyFill="1" applyBorder="1" applyAlignment="1" applyProtection="1">
      <alignment horizontal="left" vertical="center"/>
      <protection locked="0"/>
    </xf>
    <xf numFmtId="0" fontId="91" fillId="0" borderId="167" xfId="0" applyFont="1" applyBorder="1" applyAlignment="1" applyProtection="1">
      <alignment horizontal="left" vertical="center"/>
      <protection locked="0"/>
    </xf>
    <xf numFmtId="0" fontId="91" fillId="0" borderId="168" xfId="0" applyFont="1" applyBorder="1" applyAlignment="1" applyProtection="1">
      <alignment horizontal="left" vertical="center"/>
      <protection locked="0"/>
    </xf>
    <xf numFmtId="0" fontId="78" fillId="7" borderId="84" xfId="0" applyFont="1" applyFill="1" applyBorder="1" applyAlignment="1">
      <alignment horizontal="center" vertical="center"/>
    </xf>
    <xf numFmtId="0" fontId="77" fillId="16" borderId="154" xfId="0" applyFont="1" applyFill="1" applyBorder="1" applyAlignment="1">
      <alignment vertical="center"/>
    </xf>
    <xf numFmtId="0" fontId="36" fillId="7" borderId="0" xfId="0" applyFont="1" applyFill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93" fillId="7" borderId="74" xfId="0" applyFont="1" applyFill="1" applyBorder="1" applyAlignment="1">
      <alignment horizontal="center" vertical="center"/>
    </xf>
    <xf numFmtId="0" fontId="0" fillId="0" borderId="25" xfId="0" applyBorder="1"/>
    <xf numFmtId="0" fontId="0" fillId="0" borderId="75" xfId="0" applyBorder="1"/>
    <xf numFmtId="0" fontId="139" fillId="7" borderId="87" xfId="0" applyFont="1" applyFill="1" applyBorder="1" applyAlignment="1">
      <alignment horizontal="center"/>
    </xf>
    <xf numFmtId="0" fontId="31" fillId="0" borderId="66" xfId="0" applyFont="1" applyBorder="1" applyAlignment="1">
      <alignment horizontal="center"/>
    </xf>
    <xf numFmtId="0" fontId="31" fillId="0" borderId="89" xfId="0" applyFont="1" applyBorder="1" applyAlignment="1">
      <alignment horizontal="center"/>
    </xf>
    <xf numFmtId="0" fontId="31" fillId="0" borderId="61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61" xfId="0" applyFont="1" applyBorder="1"/>
    <xf numFmtId="0" fontId="31" fillId="0" borderId="0" xfId="0" applyFont="1"/>
    <xf numFmtId="0" fontId="31" fillId="0" borderId="62" xfId="0" applyFont="1" applyBorder="1"/>
    <xf numFmtId="0" fontId="31" fillId="0" borderId="90" xfId="0" applyFont="1" applyBorder="1"/>
    <xf numFmtId="0" fontId="31" fillId="0" borderId="84" xfId="0" applyFont="1" applyBorder="1"/>
    <xf numFmtId="0" fontId="31" fillId="0" borderId="88" xfId="0" applyFont="1" applyBorder="1"/>
    <xf numFmtId="0" fontId="88" fillId="0" borderId="159" xfId="0" applyFont="1" applyBorder="1" applyAlignment="1">
      <alignment vertical="center"/>
    </xf>
    <xf numFmtId="0" fontId="88" fillId="0" borderId="0" xfId="0" applyFont="1" applyBorder="1" applyAlignment="1">
      <alignment vertical="center"/>
    </xf>
    <xf numFmtId="0" fontId="99" fillId="7" borderId="150" xfId="0" applyFont="1" applyFill="1" applyBorder="1" applyAlignment="1">
      <alignment vertical="center"/>
    </xf>
    <xf numFmtId="0" fontId="31" fillId="0" borderId="150" xfId="0" applyFont="1" applyBorder="1" applyAlignment="1">
      <alignment vertical="center"/>
    </xf>
    <xf numFmtId="0" fontId="88" fillId="7" borderId="0" xfId="0" applyFont="1" applyFill="1" applyBorder="1" applyAlignment="1">
      <alignment horizontal="center" vertical="center"/>
    </xf>
    <xf numFmtId="0" fontId="31" fillId="7" borderId="0" xfId="0" applyFont="1" applyFill="1" applyBorder="1" applyAlignment="1">
      <alignment horizontal="center" vertical="center"/>
    </xf>
    <xf numFmtId="0" fontId="31" fillId="7" borderId="62" xfId="0" applyFont="1" applyFill="1" applyBorder="1" applyAlignment="1">
      <alignment horizontal="center" vertical="center"/>
    </xf>
    <xf numFmtId="0" fontId="91" fillId="0" borderId="152" xfId="0" applyFont="1" applyBorder="1" applyAlignment="1">
      <alignment vertical="center"/>
    </xf>
    <xf numFmtId="0" fontId="91" fillId="0" borderId="153" xfId="0" applyFont="1" applyBorder="1" applyAlignment="1">
      <alignment vertical="center"/>
    </xf>
    <xf numFmtId="0" fontId="91" fillId="0" borderId="154" xfId="0" applyFont="1" applyBorder="1" applyAlignment="1">
      <alignment vertical="center"/>
    </xf>
    <xf numFmtId="0" fontId="91" fillId="7" borderId="153" xfId="0" applyFont="1" applyFill="1" applyBorder="1" applyAlignment="1">
      <alignment horizontal="center" vertical="center"/>
    </xf>
    <xf numFmtId="3" fontId="92" fillId="7" borderId="152" xfId="0" applyNumberFormat="1" applyFont="1" applyFill="1" applyBorder="1" applyAlignment="1">
      <alignment horizontal="center" vertical="center"/>
    </xf>
    <xf numFmtId="3" fontId="92" fillId="7" borderId="153" xfId="0" applyNumberFormat="1" applyFont="1" applyFill="1" applyBorder="1" applyAlignment="1">
      <alignment horizontal="center" vertical="center"/>
    </xf>
    <xf numFmtId="0" fontId="92" fillId="0" borderId="153" xfId="0" applyFont="1" applyBorder="1" applyAlignment="1">
      <alignment horizontal="center" vertical="center"/>
    </xf>
    <xf numFmtId="0" fontId="92" fillId="0" borderId="154" xfId="0" applyFont="1" applyBorder="1" applyAlignment="1">
      <alignment horizontal="center" vertical="center"/>
    </xf>
    <xf numFmtId="0" fontId="88" fillId="0" borderId="62" xfId="0" applyFont="1" applyBorder="1" applyAlignment="1">
      <alignment vertical="center"/>
    </xf>
    <xf numFmtId="0" fontId="91" fillId="0" borderId="152" xfId="0" applyFont="1" applyBorder="1" applyAlignment="1" applyProtection="1">
      <alignment vertical="center"/>
      <protection locked="0"/>
    </xf>
    <xf numFmtId="0" fontId="93" fillId="7" borderId="34" xfId="0" applyFont="1" applyFill="1" applyBorder="1" applyAlignment="1">
      <alignment horizontal="center" vertical="center"/>
    </xf>
    <xf numFmtId="0" fontId="0" fillId="0" borderId="37" xfId="0" applyBorder="1"/>
    <xf numFmtId="0" fontId="77" fillId="7" borderId="34" xfId="0" applyFont="1" applyFill="1" applyBorder="1" applyAlignment="1">
      <alignment horizontal="center" vertical="center"/>
    </xf>
    <xf numFmtId="0" fontId="94" fillId="7" borderId="123" xfId="0" applyFont="1" applyFill="1" applyBorder="1" applyAlignment="1">
      <alignment horizontal="center" vertical="center"/>
    </xf>
    <xf numFmtId="0" fontId="0" fillId="0" borderId="124" xfId="0" applyBorder="1"/>
    <xf numFmtId="0" fontId="0" fillId="0" borderId="125" xfId="0" applyBorder="1"/>
    <xf numFmtId="0" fontId="79" fillId="2" borderId="0" xfId="0" applyFont="1" applyFill="1" applyAlignment="1">
      <alignment vertical="center" wrapText="1"/>
    </xf>
    <xf numFmtId="0" fontId="0" fillId="7" borderId="25" xfId="0" applyFill="1" applyBorder="1"/>
    <xf numFmtId="0" fontId="86" fillId="7" borderId="0" xfId="0" applyFont="1" applyFill="1" applyAlignment="1">
      <alignment horizontal="center" vertical="center"/>
    </xf>
    <xf numFmtId="0" fontId="88" fillId="2" borderId="0" xfId="0" applyFont="1" applyFill="1" applyAlignment="1">
      <alignment vertical="top" wrapText="1"/>
    </xf>
    <xf numFmtId="0" fontId="31" fillId="7" borderId="0" xfId="0" applyFont="1" applyFill="1" applyAlignment="1">
      <alignment vertical="top"/>
    </xf>
    <xf numFmtId="0" fontId="88" fillId="7" borderId="0" xfId="0" applyFont="1" applyFill="1" applyAlignment="1">
      <alignment horizontal="right" vertical="center"/>
    </xf>
    <xf numFmtId="0" fontId="0" fillId="0" borderId="62" xfId="0" applyBorder="1"/>
    <xf numFmtId="0" fontId="88" fillId="7" borderId="61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49" fontId="163" fillId="7" borderId="151" xfId="0" applyNumberFormat="1" applyFont="1" applyFill="1" applyBorder="1" applyAlignment="1" applyProtection="1">
      <alignment horizontal="center" vertical="center"/>
      <protection locked="0"/>
    </xf>
    <xf numFmtId="49" fontId="91" fillId="0" borderId="107" xfId="0" applyNumberFormat="1" applyFont="1" applyBorder="1" applyAlignment="1" applyProtection="1">
      <alignment horizontal="center" vertical="center"/>
      <protection locked="0"/>
    </xf>
    <xf numFmtId="49" fontId="91" fillId="0" borderId="108" xfId="0" applyNumberFormat="1" applyFont="1" applyBorder="1" applyAlignment="1" applyProtection="1">
      <alignment horizontal="center" vertical="center"/>
      <protection locked="0"/>
    </xf>
    <xf numFmtId="0" fontId="158" fillId="19" borderId="138" xfId="0" applyFont="1" applyFill="1" applyBorder="1" applyAlignment="1">
      <alignment vertical="center"/>
    </xf>
    <xf numFmtId="0" fontId="0" fillId="24" borderId="159" xfId="0" applyFill="1" applyBorder="1"/>
    <xf numFmtId="0" fontId="0" fillId="19" borderId="0" xfId="0" applyFill="1" applyBorder="1"/>
    <xf numFmtId="0" fontId="111" fillId="19" borderId="123" xfId="0" applyFont="1" applyFill="1" applyBorder="1" applyAlignment="1">
      <alignment vertical="center"/>
    </xf>
    <xf numFmtId="0" fontId="0" fillId="19" borderId="124" xfId="0" applyFill="1" applyBorder="1"/>
    <xf numFmtId="0" fontId="0" fillId="19" borderId="164" xfId="0" applyFill="1" applyBorder="1"/>
    <xf numFmtId="0" fontId="88" fillId="7" borderId="88" xfId="0" applyFont="1" applyFill="1" applyBorder="1" applyAlignment="1">
      <alignment vertical="center"/>
    </xf>
    <xf numFmtId="49" fontId="91" fillId="7" borderId="152" xfId="0" applyNumberFormat="1" applyFont="1" applyFill="1" applyBorder="1" applyAlignment="1" applyProtection="1">
      <alignment horizontal="left" vertical="center"/>
      <protection locked="0"/>
    </xf>
    <xf numFmtId="49" fontId="91" fillId="7" borderId="153" xfId="0" applyNumberFormat="1" applyFont="1" applyFill="1" applyBorder="1" applyAlignment="1" applyProtection="1">
      <alignment horizontal="left" vertical="center"/>
      <protection locked="0"/>
    </xf>
    <xf numFmtId="49" fontId="91" fillId="7" borderId="154" xfId="0" applyNumberFormat="1" applyFont="1" applyFill="1" applyBorder="1" applyAlignment="1" applyProtection="1">
      <alignment horizontal="left" vertical="center"/>
      <protection locked="0"/>
    </xf>
    <xf numFmtId="0" fontId="58" fillId="24" borderId="0" xfId="0" applyFont="1" applyFill="1" applyBorder="1" applyAlignment="1">
      <alignment horizontal="right"/>
    </xf>
    <xf numFmtId="0" fontId="3" fillId="19" borderId="0" xfId="0" applyFont="1" applyFill="1" applyBorder="1" applyAlignment="1">
      <alignment horizontal="right"/>
    </xf>
    <xf numFmtId="0" fontId="0" fillId="24" borderId="0" xfId="0" applyFill="1" applyBorder="1"/>
    <xf numFmtId="0" fontId="0" fillId="24" borderId="138" xfId="0" applyFill="1" applyBorder="1"/>
    <xf numFmtId="0" fontId="111" fillId="19" borderId="121" xfId="0" applyFont="1" applyFill="1" applyBorder="1" applyAlignment="1">
      <alignment vertical="center"/>
    </xf>
    <xf numFmtId="0" fontId="111" fillId="19" borderId="0" xfId="0" applyFont="1" applyFill="1" applyBorder="1" applyAlignment="1">
      <alignment vertical="center"/>
    </xf>
    <xf numFmtId="0" fontId="111" fillId="19" borderId="62" xfId="0" applyFont="1" applyFill="1" applyBorder="1" applyAlignment="1">
      <alignment vertical="center"/>
    </xf>
    <xf numFmtId="0" fontId="11" fillId="24" borderId="0" xfId="0" applyFont="1" applyFill="1" applyBorder="1" applyAlignment="1">
      <alignment wrapText="1"/>
    </xf>
    <xf numFmtId="0" fontId="3" fillId="19" borderId="0" xfId="0" applyFont="1" applyFill="1" applyBorder="1" applyAlignment="1">
      <alignment wrapText="1"/>
    </xf>
    <xf numFmtId="0" fontId="162" fillId="3" borderId="0" xfId="10" applyFont="1" applyFill="1" applyAlignment="1">
      <alignment vertical="center" wrapText="1"/>
    </xf>
    <xf numFmtId="0" fontId="79" fillId="0" borderId="0" xfId="10" applyFont="1" applyAlignment="1">
      <alignment vertical="center" wrapText="1"/>
    </xf>
    <xf numFmtId="165" fontId="29" fillId="23" borderId="0" xfId="10" applyNumberFormat="1" applyFont="1" applyFill="1" applyAlignment="1">
      <alignment horizontal="center" vertical="center"/>
    </xf>
    <xf numFmtId="0" fontId="36" fillId="23" borderId="0" xfId="10" applyFont="1" applyFill="1" applyAlignment="1">
      <alignment horizontal="center" vertical="center"/>
    </xf>
    <xf numFmtId="0" fontId="15" fillId="3" borderId="0" xfId="10" applyFont="1" applyFill="1" applyAlignment="1">
      <alignment vertical="center" wrapText="1"/>
    </xf>
    <xf numFmtId="0" fontId="11" fillId="0" borderId="0" xfId="10" applyFont="1" applyAlignment="1">
      <alignment vertical="center" wrapText="1"/>
    </xf>
    <xf numFmtId="0" fontId="29" fillId="23" borderId="0" xfId="10" applyFont="1" applyFill="1" applyAlignment="1">
      <alignment horizontal="left" vertical="center" wrapText="1"/>
    </xf>
    <xf numFmtId="0" fontId="11" fillId="0" borderId="0" xfId="10" applyFont="1" applyAlignment="1">
      <alignment horizontal="left" vertical="center" wrapText="1"/>
    </xf>
    <xf numFmtId="0" fontId="5" fillId="3" borderId="10" xfId="10" applyFont="1" applyFill="1" applyBorder="1" applyAlignment="1">
      <alignment vertical="center"/>
    </xf>
    <xf numFmtId="0" fontId="3" fillId="0" borderId="105" xfId="10" applyBorder="1" applyAlignment="1">
      <alignment vertical="center"/>
    </xf>
    <xf numFmtId="168" fontId="5" fillId="3" borderId="105" xfId="10" applyNumberFormat="1" applyFont="1" applyFill="1" applyBorder="1" applyAlignment="1">
      <alignment horizontal="center" vertical="center"/>
    </xf>
    <xf numFmtId="0" fontId="3" fillId="0" borderId="1" xfId="10" applyBorder="1" applyAlignment="1">
      <alignment vertical="center"/>
    </xf>
    <xf numFmtId="0" fontId="5" fillId="3" borderId="11" xfId="10" applyFont="1" applyFill="1" applyBorder="1" applyAlignment="1">
      <alignment vertical="center"/>
    </xf>
    <xf numFmtId="0" fontId="3" fillId="0" borderId="3" xfId="10" applyBorder="1" applyAlignment="1">
      <alignment vertical="center"/>
    </xf>
    <xf numFmtId="14" fontId="5" fillId="2" borderId="3" xfId="10" applyNumberFormat="1" applyFont="1" applyFill="1" applyBorder="1" applyAlignment="1" applyProtection="1">
      <alignment horizontal="center" vertical="center"/>
      <protection locked="0"/>
    </xf>
    <xf numFmtId="14" fontId="3" fillId="0" borderId="3" xfId="10" applyNumberFormat="1" applyBorder="1" applyAlignment="1">
      <alignment vertical="center"/>
    </xf>
    <xf numFmtId="14" fontId="3" fillId="0" borderId="9" xfId="10" applyNumberFormat="1" applyBorder="1" applyAlignment="1">
      <alignment vertical="center"/>
    </xf>
    <xf numFmtId="0" fontId="68" fillId="37" borderId="0" xfId="10" applyFont="1" applyFill="1" applyAlignment="1">
      <alignment horizontal="center" vertical="center" wrapText="1"/>
    </xf>
    <xf numFmtId="0" fontId="3" fillId="0" borderId="0" xfId="10" applyAlignment="1">
      <alignment horizontal="center" vertical="center" wrapText="1"/>
    </xf>
    <xf numFmtId="0" fontId="33" fillId="23" borderId="0" xfId="10" applyFont="1" applyFill="1" applyAlignment="1">
      <alignment horizontal="center" vertical="center"/>
    </xf>
    <xf numFmtId="0" fontId="3" fillId="23" borderId="0" xfId="10" applyFill="1" applyAlignment="1">
      <alignment horizontal="center" vertical="center"/>
    </xf>
    <xf numFmtId="0" fontId="6" fillId="3" borderId="28" xfId="10" applyFont="1" applyFill="1" applyBorder="1" applyAlignment="1">
      <alignment vertical="center"/>
    </xf>
    <xf numFmtId="0" fontId="3" fillId="0" borderId="27" xfId="10" applyBorder="1" applyAlignment="1">
      <alignment vertical="center"/>
    </xf>
    <xf numFmtId="0" fontId="6" fillId="3" borderId="27" xfId="10" applyFont="1" applyFill="1" applyBorder="1" applyAlignment="1">
      <alignment horizontal="center" vertical="center"/>
    </xf>
    <xf numFmtId="0" fontId="2" fillId="0" borderId="27" xfId="10" applyFont="1" applyBorder="1" applyAlignment="1">
      <alignment vertical="center"/>
    </xf>
    <xf numFmtId="0" fontId="2" fillId="0" borderId="36" xfId="10" applyFont="1" applyBorder="1" applyAlignment="1">
      <alignment vertical="center"/>
    </xf>
    <xf numFmtId="168" fontId="3" fillId="3" borderId="105" xfId="10" applyNumberFormat="1" applyFill="1" applyBorder="1" applyAlignment="1">
      <alignment horizontal="center" vertical="center"/>
    </xf>
  </cellXfs>
  <cellStyles count="13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textový odkaz" xfId="5" builtinId="8"/>
    <cellStyle name="Hypertextový odkaz 2" xfId="9" xr:uid="{00000000-0005-0000-0000-000005000000}"/>
    <cellStyle name="Hypertextový odkaz_ZAKL_DATA" xfId="6" xr:uid="{00000000-0005-0000-0000-000006000000}"/>
    <cellStyle name="Normální" xfId="0" builtinId="0"/>
    <cellStyle name="normální 2" xfId="8" xr:uid="{00000000-0005-0000-0000-000009000000}"/>
    <cellStyle name="Normální 3" xfId="7" xr:uid="{00000000-0005-0000-0000-00000A000000}"/>
    <cellStyle name="Normální 4" xfId="10" xr:uid="{00000000-0005-0000-0000-00000B000000}"/>
    <cellStyle name="Normální 5" xfId="11" xr:uid="{00000000-0005-0000-0000-00000C000000}"/>
    <cellStyle name="Špatně" xfId="12" builtinId="27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  <mruColors>
      <color rgb="FFFFFF99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2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2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xmlMaps" Target="xmlMap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342B2484-1EE0-420B-BD67-669AA20E0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2981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6056" cy="10075545"/>
    <xdr:pic>
      <xdr:nvPicPr>
        <xdr:cNvPr id="3" name="Obrázek 2">
          <a:extLst>
            <a:ext uri="{FF2B5EF4-FFF2-40B4-BE49-F238E27FC236}">
              <a16:creationId xmlns:a16="http://schemas.microsoft.com/office/drawing/2014/main" id="{A9584CFC-7909-4852-8295-C634536A2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0"/>
          <a:ext cx="6926056" cy="1007554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0</xdr:row>
      <xdr:rowOff>28575</xdr:rowOff>
    </xdr:from>
    <xdr:to>
      <xdr:col>31</xdr:col>
      <xdr:colOff>142875</xdr:colOff>
      <xdr:row>3</xdr:row>
      <xdr:rowOff>101099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B8D8A8B-3F73-4F63-8DC2-0A89FD871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8575"/>
          <a:ext cx="628650" cy="624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67</xdr:row>
      <xdr:rowOff>66675</xdr:rowOff>
    </xdr:from>
    <xdr:to>
      <xdr:col>0</xdr:col>
      <xdr:colOff>1133475</xdr:colOff>
      <xdr:row>67</xdr:row>
      <xdr:rowOff>466725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3FE84D1-8B71-4D43-AC95-A3AA1CE2A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0791825"/>
          <a:ext cx="1057275" cy="400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92281</xdr:colOff>
      <xdr:row>0</xdr:row>
      <xdr:rowOff>38100</xdr:rowOff>
    </xdr:from>
    <xdr:to>
      <xdr:col>40</xdr:col>
      <xdr:colOff>114300</xdr:colOff>
      <xdr:row>2</xdr:row>
      <xdr:rowOff>152400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E72B28F-190F-4DBD-A6A1-CD5272D2D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006" y="38100"/>
          <a:ext cx="507794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58</xdr:row>
      <xdr:rowOff>114300</xdr:rowOff>
    </xdr:from>
    <xdr:to>
      <xdr:col>2</xdr:col>
      <xdr:colOff>752475</xdr:colOff>
      <xdr:row>59</xdr:row>
      <xdr:rowOff>66675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BB20ED3-BAF0-46B2-B2BC-A71059690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982200"/>
          <a:ext cx="1066800" cy="428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15</xdr:col>
      <xdr:colOff>0</xdr:colOff>
      <xdr:row>3</xdr:row>
      <xdr:rowOff>38100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507D222A-18A3-4ADB-9BF9-4F658B961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"/>
          <a:ext cx="27527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53</xdr:row>
      <xdr:rowOff>28575</xdr:rowOff>
    </xdr:from>
    <xdr:to>
      <xdr:col>12</xdr:col>
      <xdr:colOff>19050</xdr:colOff>
      <xdr:row>55</xdr:row>
      <xdr:rowOff>57150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3848938-7193-46AB-95D4-6F779B65D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1239500"/>
          <a:ext cx="1438275" cy="381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52</xdr:row>
      <xdr:rowOff>152400</xdr:rowOff>
    </xdr:from>
    <xdr:to>
      <xdr:col>12</xdr:col>
      <xdr:colOff>85725</xdr:colOff>
      <xdr:row>55</xdr:row>
      <xdr:rowOff>19050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24ED52C-45C4-40D9-B2A4-42077AD86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1372850"/>
          <a:ext cx="1438275" cy="381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zPVZP21_xm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DzPFOB15_xm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DzPFOB21_xm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chman\Desktop\2018_01%20formulare\DzPUCZ17_xm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DzPPO14_xm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ory%20&#269;innosti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&#269;n&#237;%20&#250;&#345;ady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IZNANI/DzPPO21_xm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Zálohy_odklad"/>
      <sheetName val="Účetní_závěrka"/>
    </sheetNames>
    <sheetDataSet>
      <sheetData sheetId="0" refreshError="1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T3" t="str">
            <v>Abertamy</v>
          </cell>
        </row>
        <row r="4">
          <cell r="T4" t="str">
            <v>Adamov</v>
          </cell>
        </row>
        <row r="5">
          <cell r="T5" t="str">
            <v>Adamov</v>
          </cell>
        </row>
        <row r="6">
          <cell r="T6" t="str">
            <v>Adamov</v>
          </cell>
        </row>
        <row r="7">
          <cell r="T7" t="str">
            <v>Adršpach</v>
          </cell>
        </row>
        <row r="8">
          <cell r="T8" t="str">
            <v>Albrechtice</v>
          </cell>
        </row>
        <row r="9">
          <cell r="T9" t="str">
            <v>Albrechtice</v>
          </cell>
        </row>
        <row r="10">
          <cell r="T10" t="str">
            <v>Albrechtice nad Orlicí</v>
          </cell>
        </row>
        <row r="11">
          <cell r="T11" t="str">
            <v>Albrechtice nad Vltavou</v>
          </cell>
        </row>
        <row r="12">
          <cell r="T12" t="str">
            <v>Albrechtice v Jizerských horách</v>
          </cell>
        </row>
        <row r="13">
          <cell r="T13" t="str">
            <v>Albrechtičky</v>
          </cell>
        </row>
        <row r="14">
          <cell r="T14" t="str">
            <v>Alojzov</v>
          </cell>
        </row>
        <row r="15">
          <cell r="T15" t="str">
            <v>Andělská Hora</v>
          </cell>
        </row>
        <row r="16">
          <cell r="T16" t="str">
            <v>Andělská Hora</v>
          </cell>
        </row>
        <row r="17">
          <cell r="T17" t="str">
            <v>Anenská Studánka</v>
          </cell>
        </row>
        <row r="18">
          <cell r="T18" t="str">
            <v>Archlebov</v>
          </cell>
        </row>
        <row r="19">
          <cell r="T19" t="str">
            <v>Arneštovice</v>
          </cell>
        </row>
        <row r="20">
          <cell r="T20" t="str">
            <v>Arnolec</v>
          </cell>
        </row>
        <row r="21">
          <cell r="T21" t="str">
            <v>Arnoltice</v>
          </cell>
        </row>
        <row r="22">
          <cell r="T22" t="str">
            <v>Aš</v>
          </cell>
        </row>
        <row r="23">
          <cell r="T23" t="str">
            <v>Babice</v>
          </cell>
        </row>
        <row r="24">
          <cell r="T24" t="str">
            <v>Babice</v>
          </cell>
        </row>
        <row r="25">
          <cell r="T25" t="str">
            <v>Babice</v>
          </cell>
        </row>
        <row r="26">
          <cell r="T26" t="str">
            <v>Babice</v>
          </cell>
        </row>
        <row r="27">
          <cell r="T27" t="str">
            <v>Babice</v>
          </cell>
        </row>
        <row r="28">
          <cell r="T28" t="str">
            <v>Babice</v>
          </cell>
        </row>
        <row r="29">
          <cell r="T29" t="str">
            <v>Babice nad Svitavou</v>
          </cell>
        </row>
        <row r="30">
          <cell r="T30" t="str">
            <v>Babice u Rosic</v>
          </cell>
        </row>
        <row r="31">
          <cell r="T31" t="str">
            <v>Babylon</v>
          </cell>
        </row>
        <row r="32">
          <cell r="T32" t="str">
            <v>Bácovice</v>
          </cell>
        </row>
        <row r="33">
          <cell r="T33" t="str">
            <v>Bačalky</v>
          </cell>
        </row>
        <row r="34">
          <cell r="T34" t="str">
            <v>Bačetín</v>
          </cell>
        </row>
        <row r="35">
          <cell r="T35" t="str">
            <v>Bačice</v>
          </cell>
        </row>
        <row r="36">
          <cell r="T36" t="str">
            <v>Bačkov</v>
          </cell>
        </row>
        <row r="37">
          <cell r="T37" t="str">
            <v>Bačkovice</v>
          </cell>
        </row>
        <row r="38">
          <cell r="T38" t="str">
            <v>Bakov nad Jizerou</v>
          </cell>
        </row>
        <row r="39">
          <cell r="T39" t="str">
            <v>Baliny</v>
          </cell>
        </row>
        <row r="40">
          <cell r="T40" t="str">
            <v>Balkova Lhota</v>
          </cell>
        </row>
        <row r="41">
          <cell r="T41" t="str">
            <v>Banín</v>
          </cell>
        </row>
        <row r="42">
          <cell r="T42" t="str">
            <v>Bánov</v>
          </cell>
        </row>
        <row r="43">
          <cell r="T43" t="str">
            <v>Báňovice</v>
          </cell>
        </row>
        <row r="44">
          <cell r="T44" t="str">
            <v>Bantice</v>
          </cell>
        </row>
        <row r="45">
          <cell r="T45" t="str">
            <v>Barchov</v>
          </cell>
        </row>
        <row r="46">
          <cell r="T46" t="str">
            <v>Barchov</v>
          </cell>
        </row>
        <row r="47">
          <cell r="T47" t="str">
            <v>Barchovice</v>
          </cell>
        </row>
        <row r="48">
          <cell r="T48" t="str">
            <v>Bartošovice</v>
          </cell>
        </row>
        <row r="49">
          <cell r="T49" t="str">
            <v>Bartošovice v Orlických horách</v>
          </cell>
        </row>
        <row r="50">
          <cell r="T50" t="str">
            <v>Bartoušov</v>
          </cell>
        </row>
        <row r="51">
          <cell r="T51" t="str">
            <v>Bařice-Velké Těšany</v>
          </cell>
        </row>
        <row r="52">
          <cell r="T52" t="str">
            <v>Baška</v>
          </cell>
        </row>
        <row r="53">
          <cell r="T53" t="str">
            <v>Bašnice</v>
          </cell>
        </row>
        <row r="54">
          <cell r="T54" t="str">
            <v>Bašť</v>
          </cell>
        </row>
        <row r="55">
          <cell r="T55" t="str">
            <v>Batelov</v>
          </cell>
        </row>
        <row r="56">
          <cell r="T56" t="str">
            <v>Batňovice</v>
          </cell>
        </row>
        <row r="57">
          <cell r="T57" t="str">
            <v>Bavorov</v>
          </cell>
        </row>
        <row r="58">
          <cell r="T58" t="str">
            <v>Bavory</v>
          </cell>
        </row>
        <row r="59">
          <cell r="T59" t="str">
            <v>Bavoryně</v>
          </cell>
        </row>
        <row r="60">
          <cell r="T60" t="str">
            <v>Bdeněves</v>
          </cell>
        </row>
        <row r="61">
          <cell r="T61" t="str">
            <v>Bdín</v>
          </cell>
        </row>
        <row r="62">
          <cell r="T62" t="str">
            <v>Bečice</v>
          </cell>
        </row>
        <row r="63">
          <cell r="T63" t="str">
            <v>Bečice</v>
          </cell>
        </row>
        <row r="64">
          <cell r="T64" t="str">
            <v>Bečov</v>
          </cell>
        </row>
        <row r="65">
          <cell r="T65" t="str">
            <v>Bečov nad Teplou</v>
          </cell>
        </row>
        <row r="66">
          <cell r="T66" t="str">
            <v>Bečváry</v>
          </cell>
        </row>
        <row r="67">
          <cell r="T67" t="str">
            <v>Bedihošť</v>
          </cell>
        </row>
        <row r="68">
          <cell r="T68" t="str">
            <v>Bednárec</v>
          </cell>
        </row>
        <row r="69">
          <cell r="T69" t="str">
            <v>Bednáreček</v>
          </cell>
        </row>
        <row r="70">
          <cell r="T70" t="str">
            <v>Bedřichov</v>
          </cell>
        </row>
        <row r="71">
          <cell r="T71" t="str">
            <v>Bedřichov</v>
          </cell>
        </row>
        <row r="72">
          <cell r="T72" t="str">
            <v>Běhařov</v>
          </cell>
        </row>
        <row r="73">
          <cell r="T73" t="str">
            <v>Běhařovice</v>
          </cell>
        </row>
        <row r="74">
          <cell r="T74" t="str">
            <v>Běchary</v>
          </cell>
        </row>
        <row r="75">
          <cell r="T75" t="str">
            <v>Bechlín</v>
          </cell>
        </row>
        <row r="76">
          <cell r="T76" t="str">
            <v>Bechyně</v>
          </cell>
        </row>
        <row r="77">
          <cell r="T77" t="str">
            <v>Bělá</v>
          </cell>
        </row>
        <row r="78">
          <cell r="T78" t="str">
            <v>Bělá</v>
          </cell>
        </row>
        <row r="79">
          <cell r="T79" t="str">
            <v>Bělá</v>
          </cell>
        </row>
        <row r="80">
          <cell r="T80" t="str">
            <v>Bělá</v>
          </cell>
        </row>
        <row r="81">
          <cell r="T81" t="str">
            <v>Bělá nad Radbuzou</v>
          </cell>
        </row>
        <row r="82">
          <cell r="T82" t="str">
            <v>Bělá nad Svitavou</v>
          </cell>
        </row>
        <row r="83">
          <cell r="T83" t="str">
            <v>Bělá pod Bezdězem</v>
          </cell>
        </row>
        <row r="84">
          <cell r="T84" t="str">
            <v>Bělá pod Pradědem</v>
          </cell>
        </row>
        <row r="85">
          <cell r="T85" t="str">
            <v>Bělá u Jevíčka</v>
          </cell>
        </row>
        <row r="86">
          <cell r="T86" t="str">
            <v>Bělčice</v>
          </cell>
        </row>
        <row r="87">
          <cell r="T87" t="str">
            <v>Běleč</v>
          </cell>
        </row>
        <row r="88">
          <cell r="T88" t="str">
            <v>Běleč</v>
          </cell>
        </row>
        <row r="89">
          <cell r="T89" t="str">
            <v>Běleč</v>
          </cell>
        </row>
        <row r="90">
          <cell r="T90" t="str">
            <v>Běleč nad Orlicí</v>
          </cell>
        </row>
        <row r="91">
          <cell r="T91" t="str">
            <v>Bělkovice-Lašťany</v>
          </cell>
        </row>
        <row r="92">
          <cell r="T92" t="str">
            <v>Běloky</v>
          </cell>
        </row>
        <row r="93">
          <cell r="T93" t="str">
            <v>Bělotín</v>
          </cell>
        </row>
        <row r="94">
          <cell r="T94" t="str">
            <v>Bělov</v>
          </cell>
        </row>
        <row r="95">
          <cell r="T95" t="str">
            <v>Bělušice</v>
          </cell>
        </row>
        <row r="96">
          <cell r="T96" t="str">
            <v>Bělušice</v>
          </cell>
        </row>
        <row r="97">
          <cell r="T97" t="str">
            <v>Benátky</v>
          </cell>
        </row>
        <row r="98">
          <cell r="T98" t="str">
            <v>Benátky</v>
          </cell>
        </row>
        <row r="99">
          <cell r="T99" t="str">
            <v>Benátky nad Jizerou</v>
          </cell>
        </row>
        <row r="100">
          <cell r="T100" t="str">
            <v>Benecko</v>
          </cell>
        </row>
        <row r="101">
          <cell r="T101" t="str">
            <v>Benešov</v>
          </cell>
        </row>
        <row r="102">
          <cell r="T102" t="str">
            <v>Benešov</v>
          </cell>
        </row>
        <row r="103">
          <cell r="T103" t="str">
            <v>Benešov nad Černou</v>
          </cell>
        </row>
        <row r="104">
          <cell r="T104" t="str">
            <v>Benešov nad Ploučnicí</v>
          </cell>
        </row>
        <row r="105">
          <cell r="T105" t="str">
            <v>Benešov u Semil</v>
          </cell>
        </row>
        <row r="106">
          <cell r="T106" t="str">
            <v>Benešovice</v>
          </cell>
        </row>
        <row r="107">
          <cell r="T107" t="str">
            <v>Benetice</v>
          </cell>
        </row>
        <row r="108">
          <cell r="T108" t="str">
            <v>Beňov</v>
          </cell>
        </row>
        <row r="109">
          <cell r="T109" t="str">
            <v>Bernardov</v>
          </cell>
        </row>
        <row r="110">
          <cell r="T110" t="str">
            <v>Bernartice</v>
          </cell>
        </row>
        <row r="111">
          <cell r="T111" t="str">
            <v>Bernartice</v>
          </cell>
        </row>
        <row r="112">
          <cell r="T112" t="str">
            <v>Bernartice</v>
          </cell>
        </row>
        <row r="113">
          <cell r="T113" t="str">
            <v>Bernartice</v>
          </cell>
        </row>
        <row r="114">
          <cell r="T114" t="str">
            <v>Bernartice nad Odrou</v>
          </cell>
        </row>
        <row r="115">
          <cell r="T115" t="str">
            <v>Beroun</v>
          </cell>
        </row>
        <row r="116">
          <cell r="T116" t="str">
            <v>Běrunice</v>
          </cell>
        </row>
        <row r="117">
          <cell r="T117" t="str">
            <v>Beřovice</v>
          </cell>
        </row>
        <row r="118">
          <cell r="T118" t="str">
            <v>Besednice</v>
          </cell>
        </row>
        <row r="119">
          <cell r="T119" t="str">
            <v>Běstovice</v>
          </cell>
        </row>
        <row r="120">
          <cell r="T120" t="str">
            <v>Běstvina</v>
          </cell>
        </row>
        <row r="121">
          <cell r="T121" t="str">
            <v>Běšiny</v>
          </cell>
        </row>
        <row r="122">
          <cell r="T122" t="str">
            <v>Běštín</v>
          </cell>
        </row>
        <row r="123">
          <cell r="T123" t="str">
            <v>Bezděčí u Trnávky</v>
          </cell>
        </row>
        <row r="124">
          <cell r="T124" t="str">
            <v>Bezdědovice</v>
          </cell>
        </row>
        <row r="125">
          <cell r="T125" t="str">
            <v>Bezděkov</v>
          </cell>
        </row>
        <row r="126">
          <cell r="T126" t="str">
            <v>Bezděkov</v>
          </cell>
        </row>
        <row r="127">
          <cell r="T127" t="str">
            <v>Bezděkov</v>
          </cell>
        </row>
        <row r="128">
          <cell r="T128" t="str">
            <v>Bezděkov</v>
          </cell>
        </row>
        <row r="129">
          <cell r="T129" t="str">
            <v>Bezděkov nad Metují</v>
          </cell>
        </row>
        <row r="130">
          <cell r="T130" t="str">
            <v>Bezděkov pod Třemšínem</v>
          </cell>
        </row>
        <row r="131">
          <cell r="T131" t="str">
            <v>Bezděz</v>
          </cell>
        </row>
        <row r="132">
          <cell r="T132" t="str">
            <v>Bezdružice</v>
          </cell>
        </row>
        <row r="133">
          <cell r="T133" t="str">
            <v>Bezkov</v>
          </cell>
        </row>
        <row r="134">
          <cell r="T134" t="str">
            <v>Bezměrov</v>
          </cell>
        </row>
        <row r="135">
          <cell r="T135" t="str">
            <v>Bezno</v>
          </cell>
        </row>
        <row r="136">
          <cell r="T136" t="str">
            <v>Bezuchov</v>
          </cell>
        </row>
        <row r="137">
          <cell r="T137" t="str">
            <v>Bezvěrov</v>
          </cell>
        </row>
        <row r="138">
          <cell r="T138" t="str">
            <v>Bílá</v>
          </cell>
        </row>
        <row r="139">
          <cell r="T139" t="str">
            <v>Bílá</v>
          </cell>
        </row>
        <row r="140">
          <cell r="T140" t="str">
            <v>Bílá Hlína</v>
          </cell>
        </row>
        <row r="141">
          <cell r="T141" t="str">
            <v>Bílá Lhota</v>
          </cell>
        </row>
        <row r="142">
          <cell r="T142" t="str">
            <v>Bílá Třemešná</v>
          </cell>
        </row>
        <row r="143">
          <cell r="T143" t="str">
            <v>Bílá Voda</v>
          </cell>
        </row>
        <row r="144">
          <cell r="T144" t="str">
            <v>Bílčice</v>
          </cell>
        </row>
        <row r="145">
          <cell r="T145" t="str">
            <v>Bílé Podolí</v>
          </cell>
        </row>
        <row r="146">
          <cell r="T146" t="str">
            <v>Bílé Poličany</v>
          </cell>
        </row>
        <row r="147">
          <cell r="T147" t="str">
            <v>Bílence</v>
          </cell>
        </row>
        <row r="148">
          <cell r="T148" t="str">
            <v>Bílichov</v>
          </cell>
        </row>
        <row r="149">
          <cell r="T149" t="str">
            <v>Bílina</v>
          </cell>
        </row>
        <row r="150">
          <cell r="T150" t="str">
            <v>Bílkovice</v>
          </cell>
        </row>
        <row r="151">
          <cell r="T151" t="str">
            <v>Bílov</v>
          </cell>
        </row>
        <row r="152">
          <cell r="T152" t="str">
            <v>Bílov</v>
          </cell>
        </row>
        <row r="153">
          <cell r="T153" t="str">
            <v>Bílovec</v>
          </cell>
        </row>
        <row r="154">
          <cell r="T154" t="str">
            <v>Bílovice</v>
          </cell>
        </row>
        <row r="155">
          <cell r="T155" t="str">
            <v>Bílovice nad Svitavou</v>
          </cell>
        </row>
        <row r="156">
          <cell r="T156" t="str">
            <v>Bílovice-Lutotín</v>
          </cell>
        </row>
        <row r="157">
          <cell r="T157" t="str">
            <v>Bílsko</v>
          </cell>
        </row>
        <row r="158">
          <cell r="T158" t="str">
            <v>Bílsko</v>
          </cell>
        </row>
        <row r="159">
          <cell r="T159" t="str">
            <v>Bílsko u Hořic</v>
          </cell>
        </row>
        <row r="160">
          <cell r="T160" t="str">
            <v>Bílý Kámen</v>
          </cell>
        </row>
        <row r="161">
          <cell r="T161" t="str">
            <v>Bílý Kostel nad Nisou</v>
          </cell>
        </row>
        <row r="162">
          <cell r="T162" t="str">
            <v>Bílý Potok</v>
          </cell>
        </row>
        <row r="163">
          <cell r="T163" t="str">
            <v>Bílý Újezd</v>
          </cell>
        </row>
        <row r="164">
          <cell r="T164" t="str">
            <v>Biřkov</v>
          </cell>
        </row>
        <row r="165">
          <cell r="T165" t="str">
            <v>Biskoupky</v>
          </cell>
        </row>
        <row r="166">
          <cell r="T166" t="str">
            <v>Biskupice</v>
          </cell>
        </row>
        <row r="167">
          <cell r="T167" t="str">
            <v>Biskupice</v>
          </cell>
        </row>
        <row r="168">
          <cell r="T168" t="str">
            <v>Biskupice</v>
          </cell>
        </row>
        <row r="169">
          <cell r="T169" t="str">
            <v>Biskupice</v>
          </cell>
        </row>
        <row r="170">
          <cell r="T170" t="str">
            <v>Biskupice-Pulkov</v>
          </cell>
        </row>
        <row r="171">
          <cell r="T171" t="str">
            <v>Bítouchov</v>
          </cell>
        </row>
        <row r="172">
          <cell r="T172" t="str">
            <v>Bítov</v>
          </cell>
        </row>
        <row r="173">
          <cell r="T173" t="str">
            <v>Bítov</v>
          </cell>
        </row>
        <row r="174">
          <cell r="T174" t="str">
            <v>Bítovany</v>
          </cell>
        </row>
        <row r="175">
          <cell r="T175" t="str">
            <v>Bítovčice</v>
          </cell>
        </row>
        <row r="176">
          <cell r="T176" t="str">
            <v>Bitozeves</v>
          </cell>
        </row>
        <row r="177">
          <cell r="T177" t="str">
            <v>Blanné</v>
          </cell>
        </row>
        <row r="178">
          <cell r="T178" t="str">
            <v>Blansko</v>
          </cell>
        </row>
        <row r="179">
          <cell r="T179" t="str">
            <v>Blatce</v>
          </cell>
        </row>
        <row r="180">
          <cell r="T180" t="str">
            <v>Blatec</v>
          </cell>
        </row>
        <row r="181">
          <cell r="T181" t="str">
            <v>Blatná</v>
          </cell>
        </row>
        <row r="182">
          <cell r="T182" t="str">
            <v>Blatnice</v>
          </cell>
        </row>
        <row r="183">
          <cell r="T183" t="str">
            <v>Blatnice</v>
          </cell>
        </row>
        <row r="184">
          <cell r="T184" t="str">
            <v>Blatnice pod Svatým Antonínkem</v>
          </cell>
        </row>
        <row r="185">
          <cell r="T185" t="str">
            <v>Blatnička</v>
          </cell>
        </row>
        <row r="186">
          <cell r="T186" t="str">
            <v>Blatno</v>
          </cell>
        </row>
        <row r="187">
          <cell r="T187" t="str">
            <v>Blatno</v>
          </cell>
        </row>
        <row r="188">
          <cell r="T188" t="str">
            <v>Blazice</v>
          </cell>
        </row>
        <row r="189">
          <cell r="T189" t="str">
            <v>Blažejov</v>
          </cell>
        </row>
        <row r="190">
          <cell r="T190" t="str">
            <v>Blažejovice</v>
          </cell>
        </row>
        <row r="191">
          <cell r="T191" t="str">
            <v>Blažim</v>
          </cell>
        </row>
        <row r="192">
          <cell r="T192" t="str">
            <v>Blažim</v>
          </cell>
        </row>
        <row r="193">
          <cell r="T193" t="str">
            <v>Blažkov</v>
          </cell>
        </row>
        <row r="194">
          <cell r="T194" t="str">
            <v>Blažovice</v>
          </cell>
        </row>
        <row r="195">
          <cell r="T195" t="str">
            <v>Blešno</v>
          </cell>
        </row>
        <row r="196">
          <cell r="T196" t="str">
            <v>Blevice</v>
          </cell>
        </row>
        <row r="197">
          <cell r="T197" t="str">
            <v>Blízkov</v>
          </cell>
        </row>
        <row r="198">
          <cell r="T198" t="str">
            <v>Blížejov</v>
          </cell>
        </row>
        <row r="199">
          <cell r="T199" t="str">
            <v>Blíževedly</v>
          </cell>
        </row>
        <row r="200">
          <cell r="T200" t="str">
            <v>Blížkovice</v>
          </cell>
        </row>
        <row r="201">
          <cell r="T201" t="str">
            <v>Blovice</v>
          </cell>
        </row>
        <row r="202">
          <cell r="T202" t="str">
            <v>Blšany</v>
          </cell>
        </row>
        <row r="203">
          <cell r="T203" t="str">
            <v>Blšany u Loun</v>
          </cell>
        </row>
        <row r="204">
          <cell r="T204" t="str">
            <v>Blučina</v>
          </cell>
        </row>
        <row r="205">
          <cell r="T205" t="str">
            <v>Bludov</v>
          </cell>
        </row>
        <row r="206">
          <cell r="T206" t="str">
            <v>Bludov</v>
          </cell>
        </row>
        <row r="207">
          <cell r="T207" t="str">
            <v>Bobnice</v>
          </cell>
        </row>
        <row r="208">
          <cell r="T208" t="str">
            <v>Bobrová</v>
          </cell>
        </row>
        <row r="209">
          <cell r="T209" t="str">
            <v>Bobrůvka</v>
          </cell>
        </row>
        <row r="210">
          <cell r="T210" t="str">
            <v>Bocanovice</v>
          </cell>
        </row>
        <row r="211">
          <cell r="T211" t="str">
            <v>Boháňka</v>
          </cell>
        </row>
        <row r="212">
          <cell r="T212" t="str">
            <v>Boharyně</v>
          </cell>
        </row>
        <row r="213">
          <cell r="T213" t="str">
            <v>Bohaté Málkovice</v>
          </cell>
        </row>
        <row r="214">
          <cell r="T214" t="str">
            <v>Bohatice</v>
          </cell>
        </row>
        <row r="215">
          <cell r="T215" t="str">
            <v>Bohdalec</v>
          </cell>
        </row>
        <row r="216">
          <cell r="T216" t="str">
            <v>Bohdalice-Pavlovice</v>
          </cell>
        </row>
        <row r="217">
          <cell r="T217" t="str">
            <v>Bohdalín</v>
          </cell>
        </row>
        <row r="218">
          <cell r="T218" t="str">
            <v>Bohdalov</v>
          </cell>
        </row>
        <row r="219">
          <cell r="T219" t="str">
            <v>Bohdalovice</v>
          </cell>
        </row>
        <row r="220">
          <cell r="T220" t="str">
            <v>Bohdaneč</v>
          </cell>
        </row>
        <row r="221">
          <cell r="T221" t="str">
            <v>Bohdašín</v>
          </cell>
        </row>
        <row r="222">
          <cell r="T222" t="str">
            <v>Bohdíkov</v>
          </cell>
        </row>
        <row r="223">
          <cell r="T223" t="str">
            <v>Bohostice</v>
          </cell>
        </row>
        <row r="224">
          <cell r="T224" t="str">
            <v>Bohumilice</v>
          </cell>
        </row>
        <row r="225">
          <cell r="T225" t="str">
            <v>Bohumín</v>
          </cell>
        </row>
        <row r="226">
          <cell r="T226" t="str">
            <v>Bohunice</v>
          </cell>
        </row>
        <row r="227">
          <cell r="T227" t="str">
            <v>Bohuňov</v>
          </cell>
        </row>
        <row r="228">
          <cell r="T228" t="str">
            <v>Bohuňov</v>
          </cell>
        </row>
        <row r="229">
          <cell r="T229" t="str">
            <v>Bohuňovice</v>
          </cell>
        </row>
        <row r="230">
          <cell r="T230" t="str">
            <v>Bohuňovice</v>
          </cell>
        </row>
        <row r="231">
          <cell r="T231" t="str">
            <v>Bohuslavice</v>
          </cell>
        </row>
        <row r="232">
          <cell r="T232" t="str">
            <v>Bohuslavice</v>
          </cell>
        </row>
        <row r="233">
          <cell r="T233" t="str">
            <v>Bohuslavice</v>
          </cell>
        </row>
        <row r="234">
          <cell r="T234" t="str">
            <v>Bohuslavice</v>
          </cell>
        </row>
        <row r="235">
          <cell r="T235" t="str">
            <v>Bohuslavice</v>
          </cell>
        </row>
        <row r="236">
          <cell r="T236" t="str">
            <v>Bohuslavice nad Vláří</v>
          </cell>
        </row>
        <row r="237">
          <cell r="T237" t="str">
            <v>Bohuslavice u Zlína</v>
          </cell>
        </row>
        <row r="238">
          <cell r="T238" t="str">
            <v>Bohuslávky</v>
          </cell>
        </row>
        <row r="239">
          <cell r="T239" t="str">
            <v>Bohušice</v>
          </cell>
        </row>
        <row r="240">
          <cell r="T240" t="str">
            <v>Bohušov</v>
          </cell>
        </row>
        <row r="241">
          <cell r="T241" t="str">
            <v>Bohušovice nad Ohří</v>
          </cell>
        </row>
        <row r="242">
          <cell r="T242" t="str">
            <v>Bohutice</v>
          </cell>
        </row>
        <row r="243">
          <cell r="T243" t="str">
            <v>Bohutín</v>
          </cell>
        </row>
        <row r="244">
          <cell r="T244" t="str">
            <v>Bohutín</v>
          </cell>
        </row>
        <row r="245">
          <cell r="T245" t="str">
            <v>Bohy</v>
          </cell>
        </row>
        <row r="246">
          <cell r="T246" t="str">
            <v>Bochoř</v>
          </cell>
        </row>
        <row r="247">
          <cell r="T247" t="str">
            <v>Bochov</v>
          </cell>
        </row>
        <row r="248">
          <cell r="T248" t="str">
            <v>Bochovice</v>
          </cell>
        </row>
        <row r="249">
          <cell r="T249" t="str">
            <v>Bojanov</v>
          </cell>
        </row>
        <row r="250">
          <cell r="T250" t="str">
            <v>Bojanovice</v>
          </cell>
        </row>
        <row r="251">
          <cell r="T251" t="str">
            <v>Bojanovice</v>
          </cell>
        </row>
        <row r="252">
          <cell r="T252" t="str">
            <v>Bojiště</v>
          </cell>
        </row>
        <row r="253">
          <cell r="T253" t="str">
            <v>Bojkovice</v>
          </cell>
        </row>
        <row r="254">
          <cell r="T254" t="str">
            <v>Bolatice</v>
          </cell>
        </row>
        <row r="255">
          <cell r="T255" t="str">
            <v>Boleboř</v>
          </cell>
        </row>
        <row r="256">
          <cell r="T256" t="str">
            <v>Bolehošť</v>
          </cell>
        </row>
        <row r="257">
          <cell r="T257" t="str">
            <v>Boleradice</v>
          </cell>
        </row>
        <row r="258">
          <cell r="T258" t="str">
            <v>Bolešiny</v>
          </cell>
        </row>
        <row r="259">
          <cell r="T259" t="str">
            <v>Boletice</v>
          </cell>
        </row>
        <row r="260">
          <cell r="T260" t="str">
            <v>Bolkov</v>
          </cell>
        </row>
        <row r="261">
          <cell r="T261" t="str">
            <v>Boňkov</v>
          </cell>
        </row>
        <row r="262">
          <cell r="T262" t="str">
            <v>Bor</v>
          </cell>
        </row>
        <row r="263">
          <cell r="T263" t="str">
            <v>Bor u Skutče</v>
          </cell>
        </row>
        <row r="264">
          <cell r="T264" t="str">
            <v>Borač</v>
          </cell>
        </row>
        <row r="265">
          <cell r="T265" t="str">
            <v>Bordovice</v>
          </cell>
        </row>
        <row r="266">
          <cell r="T266" t="str">
            <v>Boreč</v>
          </cell>
        </row>
        <row r="267">
          <cell r="T267" t="str">
            <v>Borek</v>
          </cell>
        </row>
        <row r="268">
          <cell r="T268" t="str">
            <v>Borek</v>
          </cell>
        </row>
        <row r="269">
          <cell r="T269" t="str">
            <v>Borek</v>
          </cell>
        </row>
        <row r="270">
          <cell r="T270" t="str">
            <v>Borek</v>
          </cell>
        </row>
        <row r="271">
          <cell r="T271" t="str">
            <v>Borek</v>
          </cell>
        </row>
        <row r="272">
          <cell r="T272" t="str">
            <v>Borkovany</v>
          </cell>
        </row>
        <row r="273">
          <cell r="T273" t="str">
            <v>Borkovice</v>
          </cell>
        </row>
        <row r="274">
          <cell r="T274" t="str">
            <v>Borohrádek</v>
          </cell>
        </row>
        <row r="275">
          <cell r="T275" t="str">
            <v>Borotice</v>
          </cell>
        </row>
        <row r="276">
          <cell r="T276" t="str">
            <v>Borotice</v>
          </cell>
        </row>
        <row r="277">
          <cell r="T277" t="str">
            <v>Borotín</v>
          </cell>
        </row>
        <row r="278">
          <cell r="T278" t="str">
            <v>Borotín</v>
          </cell>
        </row>
        <row r="279">
          <cell r="T279" t="str">
            <v>Borová</v>
          </cell>
        </row>
        <row r="280">
          <cell r="T280" t="str">
            <v>Borová</v>
          </cell>
        </row>
        <row r="281">
          <cell r="T281" t="str">
            <v>Borová Lada</v>
          </cell>
        </row>
        <row r="282">
          <cell r="T282" t="str">
            <v>Borovany</v>
          </cell>
        </row>
        <row r="283">
          <cell r="T283" t="str">
            <v>Borovany</v>
          </cell>
        </row>
        <row r="284">
          <cell r="T284" t="str">
            <v>Borovná</v>
          </cell>
        </row>
        <row r="285">
          <cell r="T285" t="str">
            <v>Borovnice</v>
          </cell>
        </row>
        <row r="286">
          <cell r="T286" t="str">
            <v>Borovnice</v>
          </cell>
        </row>
        <row r="287">
          <cell r="T287" t="str">
            <v>Borovnice</v>
          </cell>
        </row>
        <row r="288">
          <cell r="T288" t="str">
            <v>Borovnice</v>
          </cell>
        </row>
        <row r="289">
          <cell r="T289" t="str">
            <v>Borovnice</v>
          </cell>
        </row>
        <row r="290">
          <cell r="T290" t="str">
            <v>Borovnička</v>
          </cell>
        </row>
        <row r="291">
          <cell r="T291" t="str">
            <v>Borovník</v>
          </cell>
        </row>
        <row r="292">
          <cell r="T292" t="str">
            <v>Borovno</v>
          </cell>
        </row>
        <row r="293">
          <cell r="T293" t="str">
            <v>Borovy</v>
          </cell>
        </row>
        <row r="294">
          <cell r="T294" t="str">
            <v>Boršice</v>
          </cell>
        </row>
        <row r="295">
          <cell r="T295" t="str">
            <v>Boršice u Blatnice</v>
          </cell>
        </row>
        <row r="296">
          <cell r="T296" t="str">
            <v>Boršov</v>
          </cell>
        </row>
        <row r="297">
          <cell r="T297" t="str">
            <v>Boršov nad Vltavou</v>
          </cell>
        </row>
        <row r="298">
          <cell r="T298" t="str">
            <v>Borušov</v>
          </cell>
        </row>
        <row r="299">
          <cell r="T299" t="str">
            <v>Bory</v>
          </cell>
        </row>
        <row r="300">
          <cell r="T300" t="str">
            <v>Bořanovice</v>
          </cell>
        </row>
        <row r="301">
          <cell r="T301" t="str">
            <v>Bořenovice</v>
          </cell>
        </row>
        <row r="302">
          <cell r="T302" t="str">
            <v>Bořetice</v>
          </cell>
        </row>
        <row r="303">
          <cell r="T303" t="str">
            <v>Bořetice</v>
          </cell>
        </row>
        <row r="304">
          <cell r="T304" t="str">
            <v>Bořetín</v>
          </cell>
        </row>
        <row r="305">
          <cell r="T305" t="str">
            <v>Bořetín</v>
          </cell>
        </row>
        <row r="306">
          <cell r="T306" t="str">
            <v>Bořice</v>
          </cell>
        </row>
        <row r="307">
          <cell r="T307" t="str">
            <v>Bořislav</v>
          </cell>
        </row>
        <row r="308">
          <cell r="T308" t="str">
            <v>Bořitov</v>
          </cell>
        </row>
        <row r="309">
          <cell r="T309" t="str">
            <v>Boseň</v>
          </cell>
        </row>
        <row r="310">
          <cell r="T310" t="str">
            <v>Boskovice</v>
          </cell>
        </row>
        <row r="311">
          <cell r="T311" t="str">
            <v>Boskovštejn</v>
          </cell>
        </row>
        <row r="312">
          <cell r="T312" t="str">
            <v>Bošice</v>
          </cell>
        </row>
        <row r="313">
          <cell r="T313" t="str">
            <v>Bošilec</v>
          </cell>
        </row>
        <row r="314">
          <cell r="T314" t="str">
            <v>Bošín</v>
          </cell>
        </row>
        <row r="315">
          <cell r="T315" t="str">
            <v>Bošovice</v>
          </cell>
        </row>
        <row r="316">
          <cell r="T316" t="str">
            <v>Boudy</v>
          </cell>
        </row>
        <row r="317">
          <cell r="T317" t="str">
            <v>Bousín</v>
          </cell>
        </row>
        <row r="318">
          <cell r="T318" t="str">
            <v>Bousov</v>
          </cell>
        </row>
        <row r="319">
          <cell r="T319" t="str">
            <v>Bouzov</v>
          </cell>
        </row>
        <row r="320">
          <cell r="T320" t="str">
            <v>Bozkov</v>
          </cell>
        </row>
        <row r="321">
          <cell r="T321" t="str">
            <v>Božanov</v>
          </cell>
        </row>
        <row r="322">
          <cell r="T322" t="str">
            <v>Božejov</v>
          </cell>
        </row>
        <row r="323">
          <cell r="T323" t="str">
            <v>Božetice</v>
          </cell>
        </row>
        <row r="324">
          <cell r="T324" t="str">
            <v>Boží Dar</v>
          </cell>
        </row>
        <row r="325">
          <cell r="T325" t="str">
            <v>Božice</v>
          </cell>
        </row>
        <row r="326">
          <cell r="T326" t="str">
            <v>Božičany</v>
          </cell>
        </row>
        <row r="327">
          <cell r="T327" t="str">
            <v>Bradáčov</v>
          </cell>
        </row>
        <row r="328">
          <cell r="T328" t="str">
            <v>Brada-Rybníček</v>
          </cell>
        </row>
        <row r="329">
          <cell r="T329" t="str">
            <v>Bradlec</v>
          </cell>
        </row>
        <row r="330">
          <cell r="T330" t="str">
            <v>Bradlecká Lhota</v>
          </cell>
        </row>
        <row r="331">
          <cell r="T331" t="str">
            <v>Brambory</v>
          </cell>
        </row>
        <row r="332">
          <cell r="T332" t="str">
            <v>Braňany</v>
          </cell>
        </row>
        <row r="333">
          <cell r="T333" t="str">
            <v>Brandov</v>
          </cell>
        </row>
        <row r="334">
          <cell r="T334" t="str">
            <v>Brandýs nad Labem-Stará Boleslav</v>
          </cell>
        </row>
        <row r="335">
          <cell r="T335" t="str">
            <v>Brandýs nad Orlicí</v>
          </cell>
        </row>
        <row r="336">
          <cell r="T336" t="str">
            <v>Brandýsek</v>
          </cell>
        </row>
        <row r="337">
          <cell r="T337" t="str">
            <v>Branice</v>
          </cell>
        </row>
        <row r="338">
          <cell r="T338" t="str">
            <v>Braníškov</v>
          </cell>
        </row>
        <row r="339">
          <cell r="T339" t="str">
            <v>Branišov</v>
          </cell>
        </row>
        <row r="340">
          <cell r="T340" t="str">
            <v>Branišovice</v>
          </cell>
        </row>
        <row r="341">
          <cell r="T341" t="str">
            <v>Branka u Opavy</v>
          </cell>
        </row>
        <row r="342">
          <cell r="T342" t="str">
            <v>Brankovice</v>
          </cell>
        </row>
        <row r="343">
          <cell r="T343" t="str">
            <v>Branky</v>
          </cell>
        </row>
        <row r="344">
          <cell r="T344" t="str">
            <v>Branná</v>
          </cell>
        </row>
        <row r="345">
          <cell r="T345" t="str">
            <v>Branov</v>
          </cell>
        </row>
        <row r="346">
          <cell r="T346" t="str">
            <v>Bransouze</v>
          </cell>
        </row>
        <row r="347">
          <cell r="T347" t="str">
            <v>Brantice</v>
          </cell>
        </row>
        <row r="348">
          <cell r="T348" t="str">
            <v>Branžež</v>
          </cell>
        </row>
        <row r="349">
          <cell r="T349" t="str">
            <v>Braškov</v>
          </cell>
        </row>
        <row r="350">
          <cell r="T350" t="str">
            <v>Bratčice</v>
          </cell>
        </row>
        <row r="351">
          <cell r="T351" t="str">
            <v>Bratčice</v>
          </cell>
        </row>
        <row r="352">
          <cell r="T352" t="str">
            <v>Bratkovice</v>
          </cell>
        </row>
        <row r="353">
          <cell r="T353" t="str">
            <v>Bratronice</v>
          </cell>
        </row>
        <row r="354">
          <cell r="T354" t="str">
            <v>Bratronice</v>
          </cell>
        </row>
        <row r="355">
          <cell r="T355" t="str">
            <v>Bratrušov</v>
          </cell>
        </row>
        <row r="356">
          <cell r="T356" t="str">
            <v>Bratřejov</v>
          </cell>
        </row>
        <row r="357">
          <cell r="T357" t="str">
            <v>Bratřice</v>
          </cell>
        </row>
        <row r="358">
          <cell r="T358" t="str">
            <v>Bratříkovice</v>
          </cell>
        </row>
        <row r="359">
          <cell r="T359" t="str">
            <v>Bratřínov</v>
          </cell>
        </row>
        <row r="360">
          <cell r="T360" t="str">
            <v>Bravantice</v>
          </cell>
        </row>
        <row r="361">
          <cell r="T361" t="str">
            <v>Brázdim</v>
          </cell>
        </row>
        <row r="362">
          <cell r="T362" t="str">
            <v>Brdy</v>
          </cell>
        </row>
        <row r="363">
          <cell r="T363" t="str">
            <v>Brloh</v>
          </cell>
        </row>
        <row r="364">
          <cell r="T364" t="str">
            <v>Brloh</v>
          </cell>
        </row>
        <row r="365">
          <cell r="T365" t="str">
            <v>Brňany</v>
          </cell>
        </row>
        <row r="366">
          <cell r="T366" t="str">
            <v>Brněnec</v>
          </cell>
        </row>
        <row r="367">
          <cell r="T367" t="str">
            <v>Brníčko</v>
          </cell>
        </row>
        <row r="368">
          <cell r="T368" t="str">
            <v>Brnířov</v>
          </cell>
        </row>
        <row r="369">
          <cell r="T369" t="str">
            <v>Brniště</v>
          </cell>
        </row>
        <row r="370">
          <cell r="T370" t="str">
            <v>Brno</v>
          </cell>
        </row>
        <row r="371">
          <cell r="T371" t="str">
            <v>Brod nad Dyjí</v>
          </cell>
        </row>
        <row r="372">
          <cell r="T372" t="str">
            <v>Brod nad Tichou</v>
          </cell>
        </row>
        <row r="373">
          <cell r="T373" t="str">
            <v>Brodce</v>
          </cell>
        </row>
        <row r="374">
          <cell r="T374" t="str">
            <v>Brodec</v>
          </cell>
        </row>
        <row r="375">
          <cell r="T375" t="str">
            <v>Brodek u Konice</v>
          </cell>
        </row>
        <row r="376">
          <cell r="T376" t="str">
            <v>Brodek u Prostějova</v>
          </cell>
        </row>
        <row r="377">
          <cell r="T377" t="str">
            <v>Brodek u Přerova</v>
          </cell>
        </row>
        <row r="378">
          <cell r="T378" t="str">
            <v>Brodeslavy</v>
          </cell>
        </row>
        <row r="379">
          <cell r="T379" t="str">
            <v>Broumov</v>
          </cell>
        </row>
        <row r="380">
          <cell r="T380" t="str">
            <v>Broumov</v>
          </cell>
        </row>
        <row r="381">
          <cell r="T381" t="str">
            <v>Broumy</v>
          </cell>
        </row>
        <row r="382">
          <cell r="T382" t="str">
            <v>Brozany nad Ohří</v>
          </cell>
        </row>
        <row r="383">
          <cell r="T383" t="str">
            <v>Brtnice</v>
          </cell>
        </row>
        <row r="384">
          <cell r="T384" t="str">
            <v>Brtnička</v>
          </cell>
        </row>
        <row r="385">
          <cell r="T385" t="str">
            <v>Brťov-Jeneč</v>
          </cell>
        </row>
        <row r="386">
          <cell r="T386" t="str">
            <v>Brumov</v>
          </cell>
        </row>
        <row r="387">
          <cell r="T387" t="str">
            <v>Brumov-Bylnice</v>
          </cell>
        </row>
        <row r="388">
          <cell r="T388" t="str">
            <v>Brumovice</v>
          </cell>
        </row>
        <row r="389">
          <cell r="T389" t="str">
            <v>Brumovice</v>
          </cell>
        </row>
        <row r="390">
          <cell r="T390" t="str">
            <v>Bruntál</v>
          </cell>
        </row>
        <row r="391">
          <cell r="T391" t="str">
            <v>Brusné</v>
          </cell>
        </row>
        <row r="392">
          <cell r="T392" t="str">
            <v>Brušperk</v>
          </cell>
        </row>
        <row r="393">
          <cell r="T393" t="str">
            <v>Bruzovice</v>
          </cell>
        </row>
        <row r="394">
          <cell r="T394" t="str">
            <v>Brzánky</v>
          </cell>
        </row>
        <row r="395">
          <cell r="T395" t="str">
            <v>Brzice</v>
          </cell>
        </row>
        <row r="396">
          <cell r="T396" t="str">
            <v>Brzkov</v>
          </cell>
        </row>
        <row r="397">
          <cell r="T397" t="str">
            <v>Břasy</v>
          </cell>
        </row>
        <row r="398">
          <cell r="T398" t="str">
            <v>Břeclav</v>
          </cell>
        </row>
        <row r="399">
          <cell r="T399" t="str">
            <v>Břehov</v>
          </cell>
        </row>
        <row r="400">
          <cell r="T400" t="str">
            <v>Břehy</v>
          </cell>
        </row>
        <row r="401">
          <cell r="T401" t="str">
            <v>Břest</v>
          </cell>
        </row>
        <row r="402">
          <cell r="T402" t="str">
            <v>Břestek</v>
          </cell>
        </row>
        <row r="403">
          <cell r="T403" t="str">
            <v>Břevnice</v>
          </cell>
        </row>
        <row r="404">
          <cell r="T404" t="str">
            <v>Březejc</v>
          </cell>
        </row>
        <row r="405">
          <cell r="T405" t="str">
            <v>Březí</v>
          </cell>
        </row>
        <row r="406">
          <cell r="T406" t="str">
            <v>Březí</v>
          </cell>
        </row>
        <row r="407">
          <cell r="T407" t="str">
            <v>Březí</v>
          </cell>
        </row>
        <row r="408">
          <cell r="T408" t="str">
            <v>Březí</v>
          </cell>
        </row>
        <row r="409">
          <cell r="T409" t="str">
            <v>Březí nad Oslavou</v>
          </cell>
        </row>
        <row r="410">
          <cell r="T410" t="str">
            <v>Březina</v>
          </cell>
        </row>
        <row r="411">
          <cell r="T411" t="str">
            <v>Březina</v>
          </cell>
        </row>
        <row r="412">
          <cell r="T412" t="str">
            <v>Březina</v>
          </cell>
        </row>
        <row r="413">
          <cell r="T413" t="str">
            <v>Březina</v>
          </cell>
        </row>
        <row r="414">
          <cell r="T414" t="str">
            <v>Březina</v>
          </cell>
        </row>
        <row r="415">
          <cell r="T415" t="str">
            <v>Březina</v>
          </cell>
        </row>
        <row r="416">
          <cell r="T416" t="str">
            <v>Březina (dříve okres Blansko)</v>
          </cell>
        </row>
        <row r="417">
          <cell r="T417" t="str">
            <v>Březina (dříve okres Tišnov)</v>
          </cell>
        </row>
        <row r="418">
          <cell r="T418" t="str">
            <v>Březinky</v>
          </cell>
        </row>
        <row r="419">
          <cell r="T419" t="str">
            <v>Březiny</v>
          </cell>
        </row>
        <row r="420">
          <cell r="T420" t="str">
            <v>Březnice</v>
          </cell>
        </row>
        <row r="421">
          <cell r="T421" t="str">
            <v>Březnice</v>
          </cell>
        </row>
        <row r="422">
          <cell r="T422" t="str">
            <v>Březnice</v>
          </cell>
        </row>
        <row r="423">
          <cell r="T423" t="str">
            <v>Březník</v>
          </cell>
        </row>
        <row r="424">
          <cell r="T424" t="str">
            <v>Březno</v>
          </cell>
        </row>
        <row r="425">
          <cell r="T425" t="str">
            <v>Březno</v>
          </cell>
        </row>
        <row r="426">
          <cell r="T426" t="str">
            <v>Březolupy</v>
          </cell>
        </row>
        <row r="427">
          <cell r="T427" t="str">
            <v>Březová</v>
          </cell>
        </row>
        <row r="428">
          <cell r="T428" t="str">
            <v>Březová</v>
          </cell>
        </row>
        <row r="429">
          <cell r="T429" t="str">
            <v>Březová</v>
          </cell>
        </row>
        <row r="430">
          <cell r="T430" t="str">
            <v>Březová</v>
          </cell>
        </row>
        <row r="431">
          <cell r="T431" t="str">
            <v>Březová</v>
          </cell>
        </row>
        <row r="432">
          <cell r="T432" t="str">
            <v>Březová</v>
          </cell>
        </row>
        <row r="433">
          <cell r="T433" t="str">
            <v>Březová nad Svitavou</v>
          </cell>
        </row>
        <row r="434">
          <cell r="T434" t="str">
            <v>Březová-Oleško</v>
          </cell>
        </row>
        <row r="435">
          <cell r="T435" t="str">
            <v>Březovice</v>
          </cell>
        </row>
        <row r="436">
          <cell r="T436" t="str">
            <v>Březské</v>
          </cell>
        </row>
        <row r="437">
          <cell r="T437" t="str">
            <v>Březsko</v>
          </cell>
        </row>
        <row r="438">
          <cell r="T438" t="str">
            <v>Březůvky</v>
          </cell>
        </row>
        <row r="439">
          <cell r="T439" t="str">
            <v>Břežany</v>
          </cell>
        </row>
        <row r="440">
          <cell r="T440" t="str">
            <v>Břežany</v>
          </cell>
        </row>
        <row r="441">
          <cell r="T441" t="str">
            <v>Břežany</v>
          </cell>
        </row>
        <row r="442">
          <cell r="T442" t="str">
            <v>Břežany I</v>
          </cell>
        </row>
        <row r="443">
          <cell r="T443" t="str">
            <v>Břežany II</v>
          </cell>
        </row>
        <row r="444">
          <cell r="T444" t="str">
            <v>Břidličná</v>
          </cell>
        </row>
        <row r="445">
          <cell r="T445" t="str">
            <v>Bříství</v>
          </cell>
        </row>
        <row r="446">
          <cell r="T446" t="str">
            <v>Bříšťany</v>
          </cell>
        </row>
        <row r="447">
          <cell r="T447" t="str">
            <v>Bříza</v>
          </cell>
        </row>
        <row r="448">
          <cell r="T448" t="str">
            <v>Břvany</v>
          </cell>
        </row>
        <row r="449">
          <cell r="T449" t="str">
            <v>Bublava</v>
          </cell>
        </row>
        <row r="450">
          <cell r="T450" t="str">
            <v>Bubovice</v>
          </cell>
        </row>
        <row r="451">
          <cell r="T451" t="str">
            <v>Bučí</v>
          </cell>
        </row>
        <row r="452">
          <cell r="T452" t="str">
            <v>Bučina</v>
          </cell>
        </row>
        <row r="453">
          <cell r="T453" t="str">
            <v>Bučovice</v>
          </cell>
        </row>
        <row r="454">
          <cell r="T454" t="str">
            <v>Budčeves</v>
          </cell>
        </row>
        <row r="455">
          <cell r="T455" t="str">
            <v>Budeč</v>
          </cell>
        </row>
        <row r="456">
          <cell r="T456" t="str">
            <v>Budeč</v>
          </cell>
        </row>
        <row r="457">
          <cell r="T457" t="str">
            <v>Budětice</v>
          </cell>
        </row>
        <row r="458">
          <cell r="T458" t="str">
            <v>Budětsko</v>
          </cell>
        </row>
        <row r="459">
          <cell r="T459" t="str">
            <v>Budíkov</v>
          </cell>
        </row>
        <row r="460">
          <cell r="T460" t="str">
            <v>Budiměřice</v>
          </cell>
        </row>
        <row r="461">
          <cell r="T461" t="str">
            <v>Budislav</v>
          </cell>
        </row>
        <row r="462">
          <cell r="T462" t="str">
            <v>Budislav</v>
          </cell>
        </row>
        <row r="463">
          <cell r="T463" t="str">
            <v>Budíškovice</v>
          </cell>
        </row>
        <row r="464">
          <cell r="T464" t="str">
            <v>Budišov</v>
          </cell>
        </row>
        <row r="465">
          <cell r="T465" t="str">
            <v>Budišov nad Budišovkou</v>
          </cell>
        </row>
        <row r="466">
          <cell r="T466" t="str">
            <v>Budišovice</v>
          </cell>
        </row>
        <row r="467">
          <cell r="T467" t="str">
            <v>Budkov</v>
          </cell>
        </row>
        <row r="468">
          <cell r="T468" t="str">
            <v>Budkov</v>
          </cell>
        </row>
        <row r="469">
          <cell r="T469" t="str">
            <v>Budyně</v>
          </cell>
        </row>
        <row r="470">
          <cell r="T470" t="str">
            <v>Budyně nad Ohří</v>
          </cell>
        </row>
        <row r="471">
          <cell r="T471" t="str">
            <v>Buchlovice</v>
          </cell>
        </row>
        <row r="472">
          <cell r="T472" t="str">
            <v>Bujanov</v>
          </cell>
        </row>
        <row r="473">
          <cell r="T473" t="str">
            <v>Bujesily</v>
          </cell>
        </row>
        <row r="474">
          <cell r="T474" t="str">
            <v>Buk</v>
          </cell>
        </row>
        <row r="475">
          <cell r="T475" t="str">
            <v>Buk</v>
          </cell>
        </row>
        <row r="476">
          <cell r="T476" t="str">
            <v>Bukov</v>
          </cell>
        </row>
        <row r="477">
          <cell r="T477" t="str">
            <v>Buková</v>
          </cell>
        </row>
        <row r="478">
          <cell r="T478" t="str">
            <v>Buková</v>
          </cell>
        </row>
        <row r="479">
          <cell r="T479" t="str">
            <v>Buková u Příbramě</v>
          </cell>
        </row>
        <row r="480">
          <cell r="T480" t="str">
            <v>Bukovany</v>
          </cell>
        </row>
        <row r="481">
          <cell r="T481" t="str">
            <v>Bukovany</v>
          </cell>
        </row>
        <row r="482">
          <cell r="T482" t="str">
            <v>Bukovany</v>
          </cell>
        </row>
        <row r="483">
          <cell r="T483" t="str">
            <v>Bukovany</v>
          </cell>
        </row>
        <row r="484">
          <cell r="T484" t="str">
            <v>Bukovany</v>
          </cell>
        </row>
        <row r="485">
          <cell r="T485" t="str">
            <v>Bukovec</v>
          </cell>
        </row>
        <row r="486">
          <cell r="T486" t="str">
            <v>Bukovec</v>
          </cell>
        </row>
        <row r="487">
          <cell r="T487" t="str">
            <v>Bukovice</v>
          </cell>
        </row>
        <row r="488">
          <cell r="T488" t="str">
            <v>Bukovice</v>
          </cell>
        </row>
        <row r="489">
          <cell r="T489" t="str">
            <v>Bukovina</v>
          </cell>
        </row>
        <row r="490">
          <cell r="T490" t="str">
            <v>Bukovina nad Labem</v>
          </cell>
        </row>
        <row r="491">
          <cell r="T491" t="str">
            <v>Bukovina u Čisté</v>
          </cell>
        </row>
        <row r="492">
          <cell r="T492" t="str">
            <v>Bukovina u Přelouče</v>
          </cell>
        </row>
        <row r="493">
          <cell r="T493" t="str">
            <v>Bukovinka</v>
          </cell>
        </row>
        <row r="494">
          <cell r="T494" t="str">
            <v>Bukovka</v>
          </cell>
        </row>
        <row r="495">
          <cell r="T495" t="str">
            <v>Bukovník</v>
          </cell>
        </row>
        <row r="496">
          <cell r="T496" t="str">
            <v>Bukovno</v>
          </cell>
        </row>
        <row r="497">
          <cell r="T497" t="str">
            <v>Bukvice</v>
          </cell>
        </row>
        <row r="498">
          <cell r="T498" t="str">
            <v>Bulhary</v>
          </cell>
        </row>
        <row r="499">
          <cell r="T499" t="str">
            <v>Bulovka</v>
          </cell>
        </row>
        <row r="500">
          <cell r="T500" t="str">
            <v>Buřenice</v>
          </cell>
        </row>
        <row r="501">
          <cell r="T501" t="str">
            <v>Buš</v>
          </cell>
        </row>
        <row r="502">
          <cell r="T502" t="str">
            <v>Bušanovice</v>
          </cell>
        </row>
        <row r="503">
          <cell r="T503" t="str">
            <v>Bušín</v>
          </cell>
        </row>
        <row r="504">
          <cell r="T504" t="str">
            <v>Bušovice</v>
          </cell>
        </row>
        <row r="505">
          <cell r="T505" t="str">
            <v>Buštěhrad</v>
          </cell>
        </row>
        <row r="506">
          <cell r="T506" t="str">
            <v>Butoves</v>
          </cell>
        </row>
        <row r="507">
          <cell r="T507" t="str">
            <v>Buzice</v>
          </cell>
        </row>
        <row r="508">
          <cell r="T508" t="str">
            <v>Býčkovice</v>
          </cell>
        </row>
        <row r="509">
          <cell r="T509" t="str">
            <v>Býchory</v>
          </cell>
        </row>
        <row r="510">
          <cell r="T510" t="str">
            <v>Býkev</v>
          </cell>
        </row>
        <row r="511">
          <cell r="T511" t="str">
            <v>Bykoš</v>
          </cell>
        </row>
        <row r="512">
          <cell r="T512" t="str">
            <v>Býkovice</v>
          </cell>
        </row>
        <row r="513">
          <cell r="T513" t="str">
            <v>Býkov-Láryšov</v>
          </cell>
        </row>
        <row r="514">
          <cell r="T514" t="str">
            <v>Bylany</v>
          </cell>
        </row>
        <row r="515">
          <cell r="T515" t="str">
            <v>Bynovec</v>
          </cell>
        </row>
        <row r="516">
          <cell r="T516" t="str">
            <v>Bystrá</v>
          </cell>
        </row>
        <row r="517">
          <cell r="T517" t="str">
            <v>Bystrá nad Jizerou</v>
          </cell>
        </row>
        <row r="518">
          <cell r="T518" t="str">
            <v>Bystré</v>
          </cell>
        </row>
        <row r="519">
          <cell r="T519" t="str">
            <v>Bystré</v>
          </cell>
        </row>
        <row r="520">
          <cell r="T520" t="str">
            <v>Bystročice</v>
          </cell>
        </row>
        <row r="521">
          <cell r="T521" t="str">
            <v>Bystrovany</v>
          </cell>
        </row>
        <row r="522">
          <cell r="T522" t="str">
            <v>Bystřany</v>
          </cell>
        </row>
        <row r="523">
          <cell r="T523" t="str">
            <v>Bystřec</v>
          </cell>
        </row>
        <row r="524">
          <cell r="T524" t="str">
            <v>Bystřice</v>
          </cell>
        </row>
        <row r="525">
          <cell r="T525" t="str">
            <v>Bystřice</v>
          </cell>
        </row>
        <row r="526">
          <cell r="T526" t="str">
            <v>Bystřice</v>
          </cell>
        </row>
        <row r="527">
          <cell r="T527" t="str">
            <v>Bystřice nad Pernštejnem</v>
          </cell>
        </row>
        <row r="528">
          <cell r="T528" t="str">
            <v>Bystřice pod Hostýnem</v>
          </cell>
        </row>
        <row r="529">
          <cell r="T529" t="str">
            <v>Bystřice pod Lopeníkem</v>
          </cell>
        </row>
        <row r="530">
          <cell r="T530" t="str">
            <v>Bystřička</v>
          </cell>
        </row>
        <row r="531">
          <cell r="T531" t="str">
            <v>Byšice</v>
          </cell>
        </row>
        <row r="532">
          <cell r="T532" t="str">
            <v>Býškovice</v>
          </cell>
        </row>
        <row r="533">
          <cell r="T533" t="str">
            <v>Býšovec</v>
          </cell>
        </row>
        <row r="534">
          <cell r="T534" t="str">
            <v>Býšť</v>
          </cell>
        </row>
        <row r="535">
          <cell r="T535" t="str">
            <v>Byzhradec</v>
          </cell>
        </row>
        <row r="536">
          <cell r="T536" t="str">
            <v>Bzenec</v>
          </cell>
        </row>
        <row r="537">
          <cell r="T537" t="str">
            <v>Bzová</v>
          </cell>
        </row>
        <row r="538">
          <cell r="T538" t="str">
            <v>Bžany</v>
          </cell>
        </row>
        <row r="539">
          <cell r="T539" t="str">
            <v>Cebiv</v>
          </cell>
        </row>
        <row r="540">
          <cell r="T540" t="str">
            <v>Cehnice</v>
          </cell>
        </row>
        <row r="541">
          <cell r="T541" t="str">
            <v>Cejle</v>
          </cell>
        </row>
        <row r="542">
          <cell r="T542" t="str">
            <v>Cekov</v>
          </cell>
        </row>
        <row r="543">
          <cell r="T543" t="str">
            <v>Cep</v>
          </cell>
        </row>
        <row r="544">
          <cell r="T544" t="str">
            <v>Cerekvice nad Bystřicí</v>
          </cell>
        </row>
        <row r="545">
          <cell r="T545" t="str">
            <v>Cerekvice nad Loučnou</v>
          </cell>
        </row>
        <row r="546">
          <cell r="T546" t="str">
            <v>Cerekvička-Rosice</v>
          </cell>
        </row>
        <row r="547">
          <cell r="T547" t="str">
            <v>Cerhenice</v>
          </cell>
        </row>
        <row r="548">
          <cell r="T548" t="str">
            <v>Cerhonice</v>
          </cell>
        </row>
        <row r="549">
          <cell r="T549" t="str">
            <v>Cerhovice</v>
          </cell>
        </row>
        <row r="550">
          <cell r="T550" t="str">
            <v>Cetechovice</v>
          </cell>
        </row>
        <row r="551">
          <cell r="T551" t="str">
            <v>Cetenov</v>
          </cell>
        </row>
        <row r="552">
          <cell r="T552" t="str">
            <v>Cetkovice</v>
          </cell>
        </row>
        <row r="553">
          <cell r="T553" t="str">
            <v>Cetoraz</v>
          </cell>
        </row>
        <row r="554">
          <cell r="T554" t="str">
            <v>Cetyně</v>
          </cell>
        </row>
        <row r="555">
          <cell r="T555" t="str">
            <v>Cidlina</v>
          </cell>
        </row>
        <row r="556">
          <cell r="T556" t="str">
            <v>Cikháj</v>
          </cell>
        </row>
        <row r="557">
          <cell r="T557" t="str">
            <v>Církvice</v>
          </cell>
        </row>
        <row r="558">
          <cell r="T558" t="str">
            <v>Církvice</v>
          </cell>
        </row>
        <row r="559">
          <cell r="T559" t="str">
            <v>Císařov</v>
          </cell>
        </row>
        <row r="560">
          <cell r="T560" t="str">
            <v>Citice</v>
          </cell>
        </row>
        <row r="561">
          <cell r="T561" t="str">
            <v>Cítoliby</v>
          </cell>
        </row>
        <row r="562">
          <cell r="T562" t="str">
            <v>Citonice</v>
          </cell>
        </row>
        <row r="563">
          <cell r="T563" t="str">
            <v>Citov</v>
          </cell>
        </row>
        <row r="564">
          <cell r="T564" t="str">
            <v>Cítov</v>
          </cell>
        </row>
        <row r="565">
          <cell r="T565" t="str">
            <v>Cizkrajov</v>
          </cell>
        </row>
        <row r="566">
          <cell r="T566" t="str">
            <v>Cotkytle</v>
          </cell>
        </row>
        <row r="567">
          <cell r="T567" t="str">
            <v>Crhov</v>
          </cell>
        </row>
        <row r="568">
          <cell r="T568" t="str">
            <v>Ctětín</v>
          </cell>
        </row>
        <row r="569">
          <cell r="T569" t="str">
            <v>Ctiboř</v>
          </cell>
        </row>
        <row r="570">
          <cell r="T570" t="str">
            <v>Ctiboř</v>
          </cell>
        </row>
        <row r="571">
          <cell r="T571" t="str">
            <v>Ctidružice</v>
          </cell>
        </row>
        <row r="572">
          <cell r="T572" t="str">
            <v>Ctiměřice</v>
          </cell>
        </row>
        <row r="573">
          <cell r="T573" t="str">
            <v>Ctiněves</v>
          </cell>
        </row>
        <row r="574">
          <cell r="T574" t="str">
            <v>Cvikov</v>
          </cell>
        </row>
        <row r="575">
          <cell r="T575" t="str">
            <v>Cvrčovice</v>
          </cell>
        </row>
        <row r="576">
          <cell r="T576" t="str">
            <v>Cvrčovice</v>
          </cell>
        </row>
        <row r="577">
          <cell r="T577" t="str">
            <v>Čachotín</v>
          </cell>
        </row>
        <row r="578">
          <cell r="T578" t="str">
            <v>Čachovice</v>
          </cell>
        </row>
        <row r="579">
          <cell r="T579" t="str">
            <v>Čachrov</v>
          </cell>
        </row>
        <row r="580">
          <cell r="T580" t="str">
            <v>Čakov</v>
          </cell>
        </row>
        <row r="581">
          <cell r="T581" t="str">
            <v>Čakov</v>
          </cell>
        </row>
        <row r="582">
          <cell r="T582" t="str">
            <v>Čaková</v>
          </cell>
        </row>
        <row r="583">
          <cell r="T583" t="str">
            <v>Čakovičky</v>
          </cell>
        </row>
        <row r="584">
          <cell r="T584" t="str">
            <v>Čankovice</v>
          </cell>
        </row>
        <row r="585">
          <cell r="T585" t="str">
            <v>Čáslav</v>
          </cell>
        </row>
        <row r="586">
          <cell r="T586" t="str">
            <v>Čáslavice</v>
          </cell>
        </row>
        <row r="587">
          <cell r="T587" t="str">
            <v>Čáslavsko</v>
          </cell>
        </row>
        <row r="588">
          <cell r="T588" t="str">
            <v>Částkov</v>
          </cell>
        </row>
        <row r="589">
          <cell r="T589" t="str">
            <v>Částkov</v>
          </cell>
        </row>
        <row r="590">
          <cell r="T590" t="str">
            <v>Častohostice</v>
          </cell>
        </row>
        <row r="591">
          <cell r="T591" t="str">
            <v>Častolovice</v>
          </cell>
        </row>
        <row r="592">
          <cell r="T592" t="str">
            <v>Častrov</v>
          </cell>
        </row>
        <row r="593">
          <cell r="T593" t="str">
            <v>Časy</v>
          </cell>
        </row>
        <row r="594">
          <cell r="T594" t="str">
            <v>Čavisov</v>
          </cell>
        </row>
        <row r="595">
          <cell r="T595" t="str">
            <v>Čebín</v>
          </cell>
        </row>
        <row r="596">
          <cell r="T596" t="str">
            <v>Čečelice</v>
          </cell>
        </row>
        <row r="597">
          <cell r="T597" t="str">
            <v>Čečelovice</v>
          </cell>
        </row>
        <row r="598">
          <cell r="T598" t="str">
            <v>Čečkovice</v>
          </cell>
        </row>
        <row r="599">
          <cell r="T599" t="str">
            <v>Čečovice</v>
          </cell>
        </row>
        <row r="600">
          <cell r="T600" t="str">
            <v>Čehovice</v>
          </cell>
        </row>
        <row r="601">
          <cell r="T601" t="str">
            <v>Čechočovice</v>
          </cell>
        </row>
        <row r="602">
          <cell r="T602" t="str">
            <v>Čechtice</v>
          </cell>
        </row>
        <row r="603">
          <cell r="T603" t="str">
            <v>Čechtín</v>
          </cell>
        </row>
        <row r="604">
          <cell r="T604" t="str">
            <v>Čechy</v>
          </cell>
        </row>
        <row r="605">
          <cell r="T605" t="str">
            <v>Čechy pod Kosířem</v>
          </cell>
        </row>
        <row r="606">
          <cell r="T606" t="str">
            <v>Čejč</v>
          </cell>
        </row>
        <row r="607">
          <cell r="T607" t="str">
            <v>Čejetice</v>
          </cell>
        </row>
        <row r="608">
          <cell r="T608" t="str">
            <v>Čejkovice</v>
          </cell>
        </row>
        <row r="609">
          <cell r="T609" t="str">
            <v>Čejkovice</v>
          </cell>
        </row>
        <row r="610">
          <cell r="T610" t="str">
            <v>Čejkovice</v>
          </cell>
        </row>
        <row r="611">
          <cell r="T611" t="str">
            <v>Čejkovice</v>
          </cell>
        </row>
        <row r="612">
          <cell r="T612" t="str">
            <v>Čejov</v>
          </cell>
        </row>
        <row r="613">
          <cell r="T613" t="str">
            <v>Čeladná</v>
          </cell>
        </row>
        <row r="614">
          <cell r="T614" t="str">
            <v>Čelákovice</v>
          </cell>
        </row>
        <row r="615">
          <cell r="T615" t="str">
            <v>Čelčice</v>
          </cell>
        </row>
        <row r="616">
          <cell r="T616" t="str">
            <v>Čelechovice</v>
          </cell>
        </row>
        <row r="617">
          <cell r="T617" t="str">
            <v>Čelechovice na Hané</v>
          </cell>
        </row>
        <row r="618">
          <cell r="T618" t="str">
            <v>Čelistná</v>
          </cell>
        </row>
        <row r="619">
          <cell r="T619" t="str">
            <v>Čeložnice</v>
          </cell>
        </row>
        <row r="620">
          <cell r="T620" t="str">
            <v>Čeminy</v>
          </cell>
        </row>
        <row r="621">
          <cell r="T621" t="str">
            <v>Čenkov</v>
          </cell>
        </row>
        <row r="622">
          <cell r="T622" t="str">
            <v>Čenkov u Bechyně</v>
          </cell>
        </row>
        <row r="623">
          <cell r="T623" t="str">
            <v>Čenkovice</v>
          </cell>
        </row>
        <row r="624">
          <cell r="T624" t="str">
            <v>Čeperka</v>
          </cell>
        </row>
        <row r="625">
          <cell r="T625" t="str">
            <v>Čepí</v>
          </cell>
        </row>
        <row r="626">
          <cell r="T626" t="str">
            <v>Čepřovice</v>
          </cell>
        </row>
        <row r="627">
          <cell r="T627" t="str">
            <v>Čeradice</v>
          </cell>
        </row>
        <row r="628">
          <cell r="T628" t="str">
            <v>Čerčany</v>
          </cell>
        </row>
        <row r="629">
          <cell r="T629" t="str">
            <v>Čermákovice</v>
          </cell>
        </row>
        <row r="630">
          <cell r="T630" t="str">
            <v>Čermná</v>
          </cell>
        </row>
        <row r="631">
          <cell r="T631" t="str">
            <v>Čermná</v>
          </cell>
        </row>
        <row r="632">
          <cell r="T632" t="str">
            <v>Čermná nad Orlicí</v>
          </cell>
        </row>
        <row r="633">
          <cell r="T633" t="str">
            <v>Čermná ve Slezsku</v>
          </cell>
        </row>
        <row r="634">
          <cell r="T634" t="str">
            <v>Černá</v>
          </cell>
        </row>
        <row r="635">
          <cell r="T635" t="str">
            <v>Černá Hora</v>
          </cell>
        </row>
        <row r="636">
          <cell r="T636" t="str">
            <v>Černá u Bohdanče</v>
          </cell>
        </row>
        <row r="637">
          <cell r="T637" t="str">
            <v>Černá v Pošumaví</v>
          </cell>
        </row>
        <row r="638">
          <cell r="T638" t="str">
            <v>Černá Voda</v>
          </cell>
        </row>
        <row r="639">
          <cell r="T639" t="str">
            <v>Černava</v>
          </cell>
        </row>
        <row r="640">
          <cell r="T640" t="str">
            <v>Černčice</v>
          </cell>
        </row>
        <row r="641">
          <cell r="T641" t="str">
            <v>Černčice</v>
          </cell>
        </row>
        <row r="642">
          <cell r="T642" t="str">
            <v>Černé Voděrady</v>
          </cell>
        </row>
        <row r="643">
          <cell r="T643" t="str">
            <v>Černěves</v>
          </cell>
        </row>
        <row r="644">
          <cell r="T644" t="str">
            <v>Černíč</v>
          </cell>
        </row>
        <row r="645">
          <cell r="T645" t="str">
            <v>Černíkov</v>
          </cell>
        </row>
        <row r="646">
          <cell r="T646" t="str">
            <v>Černíkovice</v>
          </cell>
        </row>
        <row r="647">
          <cell r="T647" t="str">
            <v>Černíkovice</v>
          </cell>
        </row>
        <row r="648">
          <cell r="T648" t="str">
            <v>Černíky</v>
          </cell>
        </row>
        <row r="649">
          <cell r="T649" t="str">
            <v>Černilov</v>
          </cell>
        </row>
        <row r="650">
          <cell r="T650" t="str">
            <v>Černín</v>
          </cell>
        </row>
        <row r="651">
          <cell r="T651" t="str">
            <v>Černíny</v>
          </cell>
        </row>
        <row r="652">
          <cell r="T652" t="str">
            <v>Černiv</v>
          </cell>
        </row>
        <row r="653">
          <cell r="T653" t="str">
            <v>Černolice</v>
          </cell>
        </row>
        <row r="654">
          <cell r="T654" t="str">
            <v>Černošice</v>
          </cell>
        </row>
        <row r="655">
          <cell r="T655" t="str">
            <v>Černošín</v>
          </cell>
        </row>
        <row r="656">
          <cell r="T656" t="str">
            <v>Černotín</v>
          </cell>
        </row>
        <row r="657">
          <cell r="T657" t="str">
            <v>Černouček</v>
          </cell>
        </row>
        <row r="658">
          <cell r="T658" t="str">
            <v>Černousy</v>
          </cell>
        </row>
        <row r="659">
          <cell r="T659" t="str">
            <v>Černov</v>
          </cell>
        </row>
        <row r="660">
          <cell r="T660" t="str">
            <v>Černovice</v>
          </cell>
        </row>
        <row r="661">
          <cell r="T661" t="str">
            <v>Černovice</v>
          </cell>
        </row>
        <row r="662">
          <cell r="T662" t="str">
            <v>Černovice</v>
          </cell>
        </row>
        <row r="663">
          <cell r="T663" t="str">
            <v>Černovice</v>
          </cell>
        </row>
        <row r="664">
          <cell r="T664" t="str">
            <v>Čerňovice</v>
          </cell>
        </row>
        <row r="665">
          <cell r="T665" t="str">
            <v>Černožice</v>
          </cell>
        </row>
        <row r="666">
          <cell r="T666" t="str">
            <v>Černuc</v>
          </cell>
        </row>
        <row r="667">
          <cell r="T667" t="str">
            <v>Černvír</v>
          </cell>
        </row>
        <row r="668">
          <cell r="T668" t="str">
            <v>Černý Důl</v>
          </cell>
        </row>
        <row r="669">
          <cell r="T669" t="str">
            <v>Černýšovice</v>
          </cell>
        </row>
        <row r="670">
          <cell r="T670" t="str">
            <v>Červená Hora</v>
          </cell>
        </row>
        <row r="671">
          <cell r="T671" t="str">
            <v>Červená Lhota</v>
          </cell>
        </row>
        <row r="672">
          <cell r="T672" t="str">
            <v>Červená Řečice</v>
          </cell>
        </row>
        <row r="673">
          <cell r="T673" t="str">
            <v>Červená Třemešná</v>
          </cell>
        </row>
        <row r="674">
          <cell r="T674" t="str">
            <v>Červená Voda</v>
          </cell>
        </row>
        <row r="675">
          <cell r="T675" t="str">
            <v>Červené Janovice</v>
          </cell>
        </row>
        <row r="676">
          <cell r="T676" t="str">
            <v>Červené Pečky</v>
          </cell>
        </row>
        <row r="677">
          <cell r="T677" t="str">
            <v>Červené Poříčí</v>
          </cell>
        </row>
        <row r="678">
          <cell r="T678" t="str">
            <v>Červenka</v>
          </cell>
        </row>
        <row r="679">
          <cell r="T679" t="str">
            <v>Červený Hrádek</v>
          </cell>
        </row>
        <row r="680">
          <cell r="T680" t="str">
            <v>Červený Kostelec</v>
          </cell>
        </row>
        <row r="681">
          <cell r="T681" t="str">
            <v>Červený Újezd</v>
          </cell>
        </row>
        <row r="682">
          <cell r="T682" t="str">
            <v>Červený Újezd</v>
          </cell>
        </row>
        <row r="683">
          <cell r="T683" t="str">
            <v>Česká</v>
          </cell>
        </row>
        <row r="684">
          <cell r="T684" t="str">
            <v>Česká Bělá</v>
          </cell>
        </row>
        <row r="685">
          <cell r="T685" t="str">
            <v>Česká Bříza</v>
          </cell>
        </row>
        <row r="686">
          <cell r="T686" t="str">
            <v>Česká Čermná</v>
          </cell>
        </row>
        <row r="687">
          <cell r="T687" t="str">
            <v>Česká Kamenice</v>
          </cell>
        </row>
        <row r="688">
          <cell r="T688" t="str">
            <v>Česká Kubice</v>
          </cell>
        </row>
        <row r="689">
          <cell r="T689" t="str">
            <v>Česká Lípa</v>
          </cell>
        </row>
        <row r="690">
          <cell r="T690" t="str">
            <v>Česká Metuje</v>
          </cell>
        </row>
        <row r="691">
          <cell r="T691" t="str">
            <v>Česká Rybná</v>
          </cell>
        </row>
        <row r="692">
          <cell r="T692" t="str">
            <v>Česká Skalice</v>
          </cell>
        </row>
        <row r="693">
          <cell r="T693" t="str">
            <v>Česká Třebová</v>
          </cell>
        </row>
        <row r="694">
          <cell r="T694" t="str">
            <v>Česká Ves</v>
          </cell>
        </row>
        <row r="695">
          <cell r="T695" t="str">
            <v>České Budějovice</v>
          </cell>
        </row>
        <row r="696">
          <cell r="T696" t="str">
            <v>České Heřmanice</v>
          </cell>
        </row>
        <row r="697">
          <cell r="T697" t="str">
            <v>České Lhotice</v>
          </cell>
        </row>
        <row r="698">
          <cell r="T698" t="str">
            <v>České Libchavy</v>
          </cell>
        </row>
        <row r="699">
          <cell r="T699" t="str">
            <v>České Meziříčí</v>
          </cell>
        </row>
        <row r="700">
          <cell r="T700" t="str">
            <v>České Petrovice</v>
          </cell>
        </row>
        <row r="701">
          <cell r="T701" t="str">
            <v>České Velenice</v>
          </cell>
        </row>
        <row r="702">
          <cell r="T702" t="str">
            <v>Český Brod</v>
          </cell>
        </row>
        <row r="703">
          <cell r="T703" t="str">
            <v>Český Dub</v>
          </cell>
        </row>
        <row r="704">
          <cell r="T704" t="str">
            <v>Český Jiřetín</v>
          </cell>
        </row>
        <row r="705">
          <cell r="T705" t="str">
            <v>Český Krumlov</v>
          </cell>
        </row>
        <row r="706">
          <cell r="T706" t="str">
            <v>Český Rudolec</v>
          </cell>
        </row>
        <row r="707">
          <cell r="T707" t="str">
            <v>Český Šternberk</v>
          </cell>
        </row>
        <row r="708">
          <cell r="T708" t="str">
            <v>Český Těšín</v>
          </cell>
        </row>
        <row r="709">
          <cell r="T709" t="str">
            <v>Čestice</v>
          </cell>
        </row>
        <row r="710">
          <cell r="T710" t="str">
            <v>Čestice</v>
          </cell>
        </row>
        <row r="711">
          <cell r="T711" t="str">
            <v>Čestín</v>
          </cell>
        </row>
        <row r="712">
          <cell r="T712" t="str">
            <v>Čestlice</v>
          </cell>
        </row>
        <row r="713">
          <cell r="T713" t="str">
            <v>Češov</v>
          </cell>
        </row>
        <row r="714">
          <cell r="T714" t="str">
            <v>Číčenice</v>
          </cell>
        </row>
        <row r="715">
          <cell r="T715" t="str">
            <v>Číčovice</v>
          </cell>
        </row>
        <row r="716">
          <cell r="T716" t="str">
            <v>Číhalín</v>
          </cell>
        </row>
        <row r="717">
          <cell r="T717" t="str">
            <v>Číhaň</v>
          </cell>
        </row>
        <row r="718">
          <cell r="T718" t="str">
            <v>Číhošť</v>
          </cell>
        </row>
        <row r="719">
          <cell r="T719" t="str">
            <v>Čichalov</v>
          </cell>
        </row>
        <row r="720">
          <cell r="T720" t="str">
            <v>Číchov</v>
          </cell>
        </row>
        <row r="721">
          <cell r="T721" t="str">
            <v>Čikov</v>
          </cell>
        </row>
        <row r="722">
          <cell r="T722" t="str">
            <v>Čilá</v>
          </cell>
        </row>
        <row r="723">
          <cell r="T723" t="str">
            <v>Čilec</v>
          </cell>
        </row>
        <row r="724">
          <cell r="T724" t="str">
            <v>Čím</v>
          </cell>
        </row>
        <row r="725">
          <cell r="T725" t="str">
            <v>Čimelice</v>
          </cell>
        </row>
        <row r="726">
          <cell r="T726" t="str">
            <v>Číměř</v>
          </cell>
        </row>
        <row r="727">
          <cell r="T727" t="str">
            <v>Číměř</v>
          </cell>
        </row>
        <row r="728">
          <cell r="T728" t="str">
            <v>Čímice</v>
          </cell>
        </row>
        <row r="729">
          <cell r="T729" t="str">
            <v>Činěves</v>
          </cell>
        </row>
        <row r="730">
          <cell r="T730" t="str">
            <v>Čisovice</v>
          </cell>
        </row>
        <row r="731">
          <cell r="T731" t="str">
            <v>Čistá</v>
          </cell>
        </row>
        <row r="732">
          <cell r="T732" t="str">
            <v>Čistá</v>
          </cell>
        </row>
        <row r="733">
          <cell r="T733" t="str">
            <v>Čistá</v>
          </cell>
        </row>
        <row r="734">
          <cell r="T734" t="str">
            <v>Čistá u Horek</v>
          </cell>
        </row>
        <row r="735">
          <cell r="T735" t="str">
            <v>Čistěves</v>
          </cell>
        </row>
        <row r="736">
          <cell r="T736" t="str">
            <v>Čižice</v>
          </cell>
        </row>
        <row r="737">
          <cell r="T737" t="str">
            <v>Čížkov</v>
          </cell>
        </row>
        <row r="738">
          <cell r="T738" t="str">
            <v>Čížkov</v>
          </cell>
        </row>
        <row r="739">
          <cell r="T739" t="str">
            <v>Čížkovice</v>
          </cell>
        </row>
        <row r="740">
          <cell r="T740" t="str">
            <v>Čížkrajice</v>
          </cell>
        </row>
        <row r="741">
          <cell r="T741" t="str">
            <v>Čížov</v>
          </cell>
        </row>
        <row r="742">
          <cell r="T742" t="str">
            <v>Čížová</v>
          </cell>
        </row>
        <row r="743">
          <cell r="T743" t="str">
            <v>Čkyně</v>
          </cell>
        </row>
        <row r="744">
          <cell r="T744" t="str">
            <v>Člunek</v>
          </cell>
        </row>
        <row r="745">
          <cell r="T745" t="str">
            <v>Čmelíny</v>
          </cell>
        </row>
        <row r="746">
          <cell r="T746" t="str">
            <v>Čtveřín</v>
          </cell>
        </row>
        <row r="747">
          <cell r="T747" t="str">
            <v>Čtyřkoly</v>
          </cell>
        </row>
        <row r="748">
          <cell r="T748" t="str">
            <v>Čučice</v>
          </cell>
        </row>
        <row r="749">
          <cell r="T749" t="str">
            <v>Dačice</v>
          </cell>
        </row>
        <row r="750">
          <cell r="T750" t="str">
            <v>Dalečín</v>
          </cell>
        </row>
        <row r="751">
          <cell r="T751" t="str">
            <v>Daleké Dušníky</v>
          </cell>
        </row>
        <row r="752">
          <cell r="T752" t="str">
            <v>Dalešice</v>
          </cell>
        </row>
        <row r="753">
          <cell r="T753" t="str">
            <v>Dalešice</v>
          </cell>
        </row>
        <row r="754">
          <cell r="T754" t="str">
            <v>Dalovice</v>
          </cell>
        </row>
        <row r="755">
          <cell r="T755" t="str">
            <v>Dalovice</v>
          </cell>
        </row>
        <row r="756">
          <cell r="T756" t="str">
            <v>Dambořice</v>
          </cell>
        </row>
        <row r="757">
          <cell r="T757" t="str">
            <v>Damnice</v>
          </cell>
        </row>
        <row r="758">
          <cell r="T758" t="str">
            <v>Damníkov</v>
          </cell>
        </row>
        <row r="759">
          <cell r="T759" t="str">
            <v>Daňkovice</v>
          </cell>
        </row>
        <row r="760">
          <cell r="T760" t="str">
            <v>Darkovice</v>
          </cell>
        </row>
        <row r="761">
          <cell r="T761" t="str">
            <v>Daskabát</v>
          </cell>
        </row>
        <row r="762">
          <cell r="T762" t="str">
            <v>Dasnice</v>
          </cell>
        </row>
        <row r="763">
          <cell r="T763" t="str">
            <v>Dasný</v>
          </cell>
        </row>
        <row r="764">
          <cell r="T764" t="str">
            <v>Dašice</v>
          </cell>
        </row>
        <row r="765">
          <cell r="T765" t="str">
            <v>Davle</v>
          </cell>
        </row>
        <row r="766">
          <cell r="T766" t="str">
            <v>Deblín</v>
          </cell>
        </row>
        <row r="767">
          <cell r="T767" t="str">
            <v>Děčany</v>
          </cell>
        </row>
        <row r="768">
          <cell r="T768" t="str">
            <v>Děčín</v>
          </cell>
        </row>
        <row r="769">
          <cell r="T769" t="str">
            <v>Dědice</v>
          </cell>
        </row>
        <row r="770">
          <cell r="T770" t="str">
            <v>Dědová</v>
          </cell>
        </row>
        <row r="771">
          <cell r="T771" t="str">
            <v>Dehtáře</v>
          </cell>
        </row>
        <row r="772">
          <cell r="T772" t="str">
            <v>Děhylov</v>
          </cell>
        </row>
        <row r="773">
          <cell r="T773" t="str">
            <v>Děkanovice</v>
          </cell>
        </row>
        <row r="774">
          <cell r="T774" t="str">
            <v>Děkov</v>
          </cell>
        </row>
        <row r="775">
          <cell r="T775" t="str">
            <v>Děpoltovice</v>
          </cell>
        </row>
        <row r="776">
          <cell r="T776" t="str">
            <v>Desná</v>
          </cell>
        </row>
        <row r="777">
          <cell r="T777" t="str">
            <v>Desná</v>
          </cell>
        </row>
        <row r="778">
          <cell r="T778" t="str">
            <v>Dešenice</v>
          </cell>
        </row>
        <row r="779">
          <cell r="T779" t="str">
            <v>Dešná</v>
          </cell>
        </row>
        <row r="780">
          <cell r="T780" t="str">
            <v>Dešná</v>
          </cell>
        </row>
        <row r="781">
          <cell r="T781" t="str">
            <v>Dešov</v>
          </cell>
        </row>
        <row r="782">
          <cell r="T782" t="str">
            <v>Deštná</v>
          </cell>
        </row>
        <row r="783">
          <cell r="T783" t="str">
            <v>Deštná</v>
          </cell>
        </row>
        <row r="784">
          <cell r="T784" t="str">
            <v>Deštné v Orlických horách</v>
          </cell>
        </row>
        <row r="785">
          <cell r="T785" t="str">
            <v>Deštnice</v>
          </cell>
        </row>
        <row r="786">
          <cell r="T786" t="str">
            <v>Dětenice</v>
          </cell>
        </row>
        <row r="787">
          <cell r="T787" t="str">
            <v>Dětkovice</v>
          </cell>
        </row>
        <row r="788">
          <cell r="T788" t="str">
            <v>Dětkovice</v>
          </cell>
        </row>
        <row r="789">
          <cell r="T789" t="str">
            <v>Dětmarovice</v>
          </cell>
        </row>
        <row r="790">
          <cell r="T790" t="str">
            <v>Dětřichov</v>
          </cell>
        </row>
        <row r="791">
          <cell r="T791" t="str">
            <v>Dětřichov</v>
          </cell>
        </row>
        <row r="792">
          <cell r="T792" t="str">
            <v>Dětřichov nad Bystřicí</v>
          </cell>
        </row>
        <row r="793">
          <cell r="T793" t="str">
            <v>Dětřichov u Moravské Třebové</v>
          </cell>
        </row>
        <row r="794">
          <cell r="T794" t="str">
            <v>Dílce</v>
          </cell>
        </row>
        <row r="795">
          <cell r="T795" t="str">
            <v>Díly</v>
          </cell>
        </row>
        <row r="796">
          <cell r="T796" t="str">
            <v>Dírná</v>
          </cell>
        </row>
        <row r="797">
          <cell r="T797" t="str">
            <v>Diváky</v>
          </cell>
        </row>
        <row r="798">
          <cell r="T798" t="str">
            <v>Dívčí Hrad</v>
          </cell>
        </row>
        <row r="799">
          <cell r="T799" t="str">
            <v>Dívčí Kopy</v>
          </cell>
        </row>
        <row r="800">
          <cell r="T800" t="str">
            <v>Dívčice</v>
          </cell>
        </row>
        <row r="801">
          <cell r="T801" t="str">
            <v>Divec</v>
          </cell>
        </row>
        <row r="802">
          <cell r="T802" t="str">
            <v>Divišov</v>
          </cell>
        </row>
        <row r="803">
          <cell r="T803" t="str">
            <v>Dlažkovice</v>
          </cell>
        </row>
        <row r="804">
          <cell r="T804" t="str">
            <v>Dlažov</v>
          </cell>
        </row>
        <row r="805">
          <cell r="T805" t="str">
            <v>Dlouhá Brtnice</v>
          </cell>
        </row>
        <row r="806">
          <cell r="T806" t="str">
            <v>Dlouhá Lhota</v>
          </cell>
        </row>
        <row r="807">
          <cell r="T807" t="str">
            <v>Dlouhá Lhota</v>
          </cell>
        </row>
        <row r="808">
          <cell r="T808" t="str">
            <v>Dlouhá Lhota</v>
          </cell>
        </row>
        <row r="809">
          <cell r="T809" t="str">
            <v>Dlouhá Lhota</v>
          </cell>
        </row>
        <row r="810">
          <cell r="T810" t="str">
            <v>Dlouhá Loučka</v>
          </cell>
        </row>
        <row r="811">
          <cell r="T811" t="str">
            <v>Dlouhá Loučka</v>
          </cell>
        </row>
        <row r="812">
          <cell r="T812" t="str">
            <v>Dlouhá Stráň</v>
          </cell>
        </row>
        <row r="813">
          <cell r="T813" t="str">
            <v>Dlouhá Třebová</v>
          </cell>
        </row>
        <row r="814">
          <cell r="T814" t="str">
            <v>Dlouhá Ves</v>
          </cell>
        </row>
        <row r="815">
          <cell r="T815" t="str">
            <v>Dlouhá Ves</v>
          </cell>
        </row>
        <row r="816">
          <cell r="T816" t="str">
            <v>Dlouhé</v>
          </cell>
        </row>
        <row r="817">
          <cell r="T817" t="str">
            <v>Dlouhomilov</v>
          </cell>
        </row>
        <row r="818">
          <cell r="T818" t="str">
            <v>Dlouhoňovice</v>
          </cell>
        </row>
        <row r="819">
          <cell r="T819" t="str">
            <v>Dlouhopolsko</v>
          </cell>
        </row>
        <row r="820">
          <cell r="T820" t="str">
            <v>Dlouhý Most</v>
          </cell>
        </row>
        <row r="821">
          <cell r="T821" t="str">
            <v>Dlouhý Újezd</v>
          </cell>
        </row>
        <row r="822">
          <cell r="T822" t="str">
            <v>Dnešice</v>
          </cell>
        </row>
        <row r="823">
          <cell r="T823" t="str">
            <v>Dobelice</v>
          </cell>
        </row>
        <row r="824">
          <cell r="T824" t="str">
            <v>Dobev</v>
          </cell>
        </row>
        <row r="825">
          <cell r="T825" t="str">
            <v>Dobkovice</v>
          </cell>
        </row>
        <row r="826">
          <cell r="T826" t="str">
            <v>Dobrá</v>
          </cell>
        </row>
        <row r="827">
          <cell r="T827" t="str">
            <v>Dobrá Voda</v>
          </cell>
        </row>
        <row r="828">
          <cell r="T828" t="str">
            <v>Dobrá Voda</v>
          </cell>
        </row>
        <row r="829">
          <cell r="T829" t="str">
            <v>Dobrá Voda u Českých Budějovic</v>
          </cell>
        </row>
        <row r="830">
          <cell r="T830" t="str">
            <v>Dobrá Voda u Hořic</v>
          </cell>
        </row>
        <row r="831">
          <cell r="T831" t="str">
            <v>Dobrá Voda u Pacova</v>
          </cell>
        </row>
        <row r="832">
          <cell r="T832" t="str">
            <v>Dobratice</v>
          </cell>
        </row>
        <row r="833">
          <cell r="T833" t="str">
            <v>Dobrčice</v>
          </cell>
        </row>
        <row r="834">
          <cell r="T834" t="str">
            <v>Dobré</v>
          </cell>
        </row>
        <row r="835">
          <cell r="T835" t="str">
            <v>Dobré Pole</v>
          </cell>
        </row>
        <row r="836">
          <cell r="T836" t="str">
            <v>Dobrkovice</v>
          </cell>
        </row>
        <row r="837">
          <cell r="T837" t="str">
            <v>Dobrná</v>
          </cell>
        </row>
        <row r="838">
          <cell r="T838" t="str">
            <v>Dobročkovice</v>
          </cell>
        </row>
        <row r="839">
          <cell r="T839" t="str">
            <v>Dobročovice</v>
          </cell>
        </row>
        <row r="840">
          <cell r="T840" t="str">
            <v>Dobrohošť</v>
          </cell>
        </row>
        <row r="841">
          <cell r="T841" t="str">
            <v>Dobrochov</v>
          </cell>
        </row>
        <row r="842">
          <cell r="T842" t="str">
            <v>Dobroměřice</v>
          </cell>
        </row>
        <row r="843">
          <cell r="T843" t="str">
            <v>Dobromilice</v>
          </cell>
        </row>
        <row r="844">
          <cell r="T844" t="str">
            <v>Dobronice u Bechyně</v>
          </cell>
        </row>
        <row r="845">
          <cell r="T845" t="str">
            <v>Dobronín</v>
          </cell>
        </row>
        <row r="846">
          <cell r="T846" t="str">
            <v>Dobroslavice</v>
          </cell>
        </row>
        <row r="847">
          <cell r="T847" t="str">
            <v>Dobroutov</v>
          </cell>
        </row>
        <row r="848">
          <cell r="T848" t="str">
            <v>Dobrovice</v>
          </cell>
        </row>
        <row r="849">
          <cell r="T849" t="str">
            <v>Dobrovítov</v>
          </cell>
        </row>
        <row r="850">
          <cell r="T850" t="str">
            <v>Dobrovíz</v>
          </cell>
        </row>
        <row r="851">
          <cell r="T851" t="str">
            <v>Dobršín</v>
          </cell>
        </row>
        <row r="852">
          <cell r="T852" t="str">
            <v>Dobruška</v>
          </cell>
        </row>
        <row r="853">
          <cell r="T853" t="str">
            <v>Dobřany</v>
          </cell>
        </row>
        <row r="854">
          <cell r="T854" t="str">
            <v>Dobřany</v>
          </cell>
        </row>
        <row r="855">
          <cell r="T855" t="str">
            <v>Dobřejovice</v>
          </cell>
        </row>
        <row r="856">
          <cell r="T856" t="str">
            <v>Dobřeň</v>
          </cell>
        </row>
        <row r="857">
          <cell r="T857" t="str">
            <v>Dobřenice</v>
          </cell>
        </row>
        <row r="858">
          <cell r="T858" t="str">
            <v>Dobříč</v>
          </cell>
        </row>
        <row r="859">
          <cell r="T859" t="str">
            <v>Dobříč</v>
          </cell>
        </row>
        <row r="860">
          <cell r="T860" t="str">
            <v>Dobřichov</v>
          </cell>
        </row>
        <row r="861">
          <cell r="T861" t="str">
            <v>Dobřichovice</v>
          </cell>
        </row>
        <row r="862">
          <cell r="T862" t="str">
            <v>Dobříkov</v>
          </cell>
        </row>
        <row r="863">
          <cell r="T863" t="str">
            <v>Dobříň</v>
          </cell>
        </row>
        <row r="864">
          <cell r="T864" t="str">
            <v>Dobřínsko</v>
          </cell>
        </row>
        <row r="865">
          <cell r="T865" t="str">
            <v>Dobříš</v>
          </cell>
        </row>
        <row r="866">
          <cell r="T866" t="str">
            <v>Dobřív</v>
          </cell>
        </row>
        <row r="867">
          <cell r="T867" t="str">
            <v>Dobšice</v>
          </cell>
        </row>
        <row r="868">
          <cell r="T868" t="str">
            <v>Dobšice</v>
          </cell>
        </row>
        <row r="869">
          <cell r="T869" t="str">
            <v>Dobšice</v>
          </cell>
        </row>
        <row r="870">
          <cell r="T870" t="str">
            <v>Dobšín</v>
          </cell>
        </row>
        <row r="871">
          <cell r="T871" t="str">
            <v>Dohalice</v>
          </cell>
        </row>
        <row r="872">
          <cell r="T872" t="str">
            <v>Doksany</v>
          </cell>
        </row>
        <row r="873">
          <cell r="T873" t="str">
            <v>Doksy</v>
          </cell>
        </row>
        <row r="874">
          <cell r="T874" t="str">
            <v>Doksy</v>
          </cell>
        </row>
        <row r="875">
          <cell r="T875" t="str">
            <v>Dolánky nad Ohří</v>
          </cell>
        </row>
        <row r="876">
          <cell r="T876" t="str">
            <v>Dolany</v>
          </cell>
        </row>
        <row r="877">
          <cell r="T877" t="str">
            <v>Dolany</v>
          </cell>
        </row>
        <row r="878">
          <cell r="T878" t="str">
            <v>Dolany</v>
          </cell>
        </row>
        <row r="879">
          <cell r="T879" t="str">
            <v>Dolany</v>
          </cell>
        </row>
        <row r="880">
          <cell r="T880" t="str">
            <v>Dolany</v>
          </cell>
        </row>
        <row r="881">
          <cell r="T881" t="str">
            <v>Dolany</v>
          </cell>
        </row>
        <row r="882">
          <cell r="T882" t="str">
            <v>Dolany</v>
          </cell>
        </row>
        <row r="883">
          <cell r="T883" t="str">
            <v>Dolce</v>
          </cell>
        </row>
        <row r="884">
          <cell r="T884" t="str">
            <v>Dolenice</v>
          </cell>
        </row>
        <row r="885">
          <cell r="T885" t="str">
            <v>Dolní Bečva</v>
          </cell>
        </row>
        <row r="886">
          <cell r="T886" t="str">
            <v>Dolní Bělá</v>
          </cell>
        </row>
        <row r="887">
          <cell r="T887" t="str">
            <v>Dolní Benešov</v>
          </cell>
        </row>
        <row r="888">
          <cell r="T888" t="str">
            <v>Dolní Beřkovice</v>
          </cell>
        </row>
        <row r="889">
          <cell r="T889" t="str">
            <v>Dolní Bezděkov</v>
          </cell>
        </row>
        <row r="890">
          <cell r="T890" t="str">
            <v>Dolní Bojanovice</v>
          </cell>
        </row>
        <row r="891">
          <cell r="T891" t="str">
            <v>Dolní Bousov</v>
          </cell>
        </row>
        <row r="892">
          <cell r="T892" t="str">
            <v>Dolní Branná</v>
          </cell>
        </row>
        <row r="893">
          <cell r="T893" t="str">
            <v>Dolní Brusnice</v>
          </cell>
        </row>
        <row r="894">
          <cell r="T894" t="str">
            <v>Dolní Břežany</v>
          </cell>
        </row>
        <row r="895">
          <cell r="T895" t="str">
            <v>Dolní Bukovsko</v>
          </cell>
        </row>
        <row r="896">
          <cell r="T896" t="str">
            <v>Dolní Cerekev</v>
          </cell>
        </row>
        <row r="897">
          <cell r="T897" t="str">
            <v>Dolní Čermná</v>
          </cell>
        </row>
        <row r="898">
          <cell r="T898" t="str">
            <v>Dolní Dobrouč</v>
          </cell>
        </row>
        <row r="899">
          <cell r="T899" t="str">
            <v>Dolní Domaslavice</v>
          </cell>
        </row>
        <row r="900">
          <cell r="T900" t="str">
            <v>Dolní Dubňany</v>
          </cell>
        </row>
        <row r="901">
          <cell r="T901" t="str">
            <v>Dolní Dunajovice</v>
          </cell>
        </row>
        <row r="902">
          <cell r="T902" t="str">
            <v>Dolní Dvořiště</v>
          </cell>
        </row>
        <row r="903">
          <cell r="T903" t="str">
            <v>Dolní Dvůr</v>
          </cell>
        </row>
        <row r="904">
          <cell r="T904" t="str">
            <v>Dolní Habartice</v>
          </cell>
        </row>
        <row r="905">
          <cell r="T905" t="str">
            <v>Dolní Hbity</v>
          </cell>
        </row>
        <row r="906">
          <cell r="T906" t="str">
            <v>Dolní Heřmanice</v>
          </cell>
        </row>
        <row r="907">
          <cell r="T907" t="str">
            <v>Dolní Hořice</v>
          </cell>
        </row>
        <row r="908">
          <cell r="T908" t="str">
            <v>Dolní Hradiště</v>
          </cell>
        </row>
        <row r="909">
          <cell r="T909" t="str">
            <v>Dolní Hrachovice</v>
          </cell>
        </row>
        <row r="910">
          <cell r="T910" t="str">
            <v>Dolní Chvatliny</v>
          </cell>
        </row>
        <row r="911">
          <cell r="T911" t="str">
            <v>Dolní Kalná</v>
          </cell>
        </row>
        <row r="912">
          <cell r="T912" t="str">
            <v>Dolní Kounice</v>
          </cell>
        </row>
        <row r="913">
          <cell r="T913" t="str">
            <v>Dolní Kralovice</v>
          </cell>
        </row>
        <row r="914">
          <cell r="T914" t="str">
            <v>Dolní Krupá</v>
          </cell>
        </row>
        <row r="915">
          <cell r="T915" t="str">
            <v>Dolní Krupá</v>
          </cell>
        </row>
        <row r="916">
          <cell r="T916" t="str">
            <v>Dolní Lánov</v>
          </cell>
        </row>
        <row r="917">
          <cell r="T917" t="str">
            <v>Dolní Lažany</v>
          </cell>
        </row>
        <row r="918">
          <cell r="T918" t="str">
            <v>Dolní Lhota</v>
          </cell>
        </row>
        <row r="919">
          <cell r="T919" t="str">
            <v>Dolní Lhota</v>
          </cell>
        </row>
        <row r="920">
          <cell r="T920" t="str">
            <v>Dolní Libochová</v>
          </cell>
        </row>
        <row r="921">
          <cell r="T921" t="str">
            <v>Dolní Lochov</v>
          </cell>
        </row>
        <row r="922">
          <cell r="T922" t="str">
            <v>Dolní Lomná</v>
          </cell>
        </row>
        <row r="923">
          <cell r="T923" t="str">
            <v>Dolní Loučky</v>
          </cell>
        </row>
        <row r="924">
          <cell r="T924" t="str">
            <v>Dolní Lukavice</v>
          </cell>
        </row>
        <row r="925">
          <cell r="T925" t="str">
            <v>Dolní Lutyně</v>
          </cell>
        </row>
        <row r="926">
          <cell r="T926" t="str">
            <v>Dolní Město</v>
          </cell>
        </row>
        <row r="927">
          <cell r="T927" t="str">
            <v>Dolní Morava</v>
          </cell>
        </row>
        <row r="928">
          <cell r="T928" t="str">
            <v>Dolní Moravice</v>
          </cell>
        </row>
        <row r="929">
          <cell r="T929" t="str">
            <v>Dolní Němčí</v>
          </cell>
        </row>
        <row r="930">
          <cell r="T930" t="str">
            <v>Dolní Nětčice</v>
          </cell>
        </row>
        <row r="931">
          <cell r="T931" t="str">
            <v>Dolní Nivy</v>
          </cell>
        </row>
        <row r="932">
          <cell r="T932" t="str">
            <v>Dolní Novosedly</v>
          </cell>
        </row>
        <row r="933">
          <cell r="T933" t="str">
            <v>Dolní Olešnice</v>
          </cell>
        </row>
        <row r="934">
          <cell r="T934" t="str">
            <v>Dolní Pěna</v>
          </cell>
        </row>
        <row r="935">
          <cell r="T935" t="str">
            <v>Dolní Podluží</v>
          </cell>
        </row>
        <row r="936">
          <cell r="T936" t="str">
            <v>Dolní Pohleď</v>
          </cell>
        </row>
        <row r="937">
          <cell r="T937" t="str">
            <v>Dolní Poustevna</v>
          </cell>
        </row>
        <row r="938">
          <cell r="T938" t="str">
            <v>Dolní Přím</v>
          </cell>
        </row>
        <row r="939">
          <cell r="T939" t="str">
            <v>Dolní Radechová</v>
          </cell>
        </row>
        <row r="940">
          <cell r="T940" t="str">
            <v>Dolní Roveň</v>
          </cell>
        </row>
        <row r="941">
          <cell r="T941" t="str">
            <v>Dolní Rožínka</v>
          </cell>
        </row>
        <row r="942">
          <cell r="T942" t="str">
            <v>Dolní Rychnov</v>
          </cell>
        </row>
        <row r="943">
          <cell r="T943" t="str">
            <v>Dolní Řasnice</v>
          </cell>
        </row>
        <row r="944">
          <cell r="T944" t="str">
            <v>Dolní Ředice</v>
          </cell>
        </row>
        <row r="945">
          <cell r="T945" t="str">
            <v>Dolní Slivno</v>
          </cell>
        </row>
        <row r="946">
          <cell r="T946" t="str">
            <v>Dolní Sokolovec</v>
          </cell>
        </row>
        <row r="947">
          <cell r="T947" t="str">
            <v>Dolní Stakory</v>
          </cell>
        </row>
        <row r="948">
          <cell r="T948" t="str">
            <v>Dolní Studénky</v>
          </cell>
        </row>
        <row r="949">
          <cell r="T949" t="str">
            <v>Dolní Těšice</v>
          </cell>
        </row>
        <row r="950">
          <cell r="T950" t="str">
            <v>Dolní Tošanovice</v>
          </cell>
        </row>
        <row r="951">
          <cell r="T951" t="str">
            <v>Dolní Třebonín</v>
          </cell>
        </row>
        <row r="952">
          <cell r="T952" t="str">
            <v>Dolní Újezd</v>
          </cell>
        </row>
        <row r="953">
          <cell r="T953" t="str">
            <v>Dolní Újezd</v>
          </cell>
        </row>
        <row r="954">
          <cell r="T954" t="str">
            <v>Dolní Věstonice</v>
          </cell>
        </row>
        <row r="955">
          <cell r="T955" t="str">
            <v>Dolní Vilémovice</v>
          </cell>
        </row>
        <row r="956">
          <cell r="T956" t="str">
            <v>Dolní Vilímeč</v>
          </cell>
        </row>
        <row r="957">
          <cell r="T957" t="str">
            <v>Dolní Zálezly</v>
          </cell>
        </row>
        <row r="958">
          <cell r="T958" t="str">
            <v>Dolní Zimoř</v>
          </cell>
        </row>
        <row r="959">
          <cell r="T959" t="str">
            <v>Dolní Žandov</v>
          </cell>
        </row>
        <row r="960">
          <cell r="T960" t="str">
            <v>Dolní Žďár</v>
          </cell>
        </row>
        <row r="961">
          <cell r="T961" t="str">
            <v>Dolní Životice</v>
          </cell>
        </row>
        <row r="962">
          <cell r="T962" t="str">
            <v>Doloplazy</v>
          </cell>
        </row>
        <row r="963">
          <cell r="T963" t="str">
            <v>Doloplazy</v>
          </cell>
        </row>
        <row r="964">
          <cell r="T964" t="str">
            <v>Domamil</v>
          </cell>
        </row>
        <row r="965">
          <cell r="T965" t="str">
            <v>Domanín</v>
          </cell>
        </row>
        <row r="966">
          <cell r="T966" t="str">
            <v>Domanín</v>
          </cell>
        </row>
        <row r="967">
          <cell r="T967" t="str">
            <v>Dománovice</v>
          </cell>
        </row>
        <row r="968">
          <cell r="T968" t="str">
            <v>Domašín</v>
          </cell>
        </row>
        <row r="969">
          <cell r="T969" t="str">
            <v>Domašov</v>
          </cell>
        </row>
        <row r="970">
          <cell r="T970" t="str">
            <v>Domašov nad Bystřicí</v>
          </cell>
        </row>
        <row r="971">
          <cell r="T971" t="str">
            <v>Domašov u Šternberka</v>
          </cell>
        </row>
        <row r="972">
          <cell r="T972" t="str">
            <v>Domaželice</v>
          </cell>
        </row>
        <row r="973">
          <cell r="T973" t="str">
            <v>Domažlice</v>
          </cell>
        </row>
        <row r="974">
          <cell r="T974" t="str">
            <v>Domoraz</v>
          </cell>
        </row>
        <row r="975">
          <cell r="T975" t="str">
            <v>Domousnice</v>
          </cell>
        </row>
        <row r="976">
          <cell r="T976" t="str">
            <v>Domoušice</v>
          </cell>
        </row>
        <row r="977">
          <cell r="T977" t="str">
            <v>Doňov</v>
          </cell>
        </row>
        <row r="978">
          <cell r="T978" t="str">
            <v>Doubek</v>
          </cell>
        </row>
        <row r="979">
          <cell r="T979" t="str">
            <v>Doubice</v>
          </cell>
        </row>
        <row r="980">
          <cell r="T980" t="str">
            <v>Doubrava</v>
          </cell>
        </row>
        <row r="981">
          <cell r="T981" t="str">
            <v>Doubravčice</v>
          </cell>
        </row>
        <row r="982">
          <cell r="T982" t="str">
            <v>Doubravice</v>
          </cell>
        </row>
        <row r="983">
          <cell r="T983" t="str">
            <v>Doubravice</v>
          </cell>
        </row>
        <row r="984">
          <cell r="T984" t="str">
            <v>Doubravice</v>
          </cell>
        </row>
        <row r="985">
          <cell r="T985" t="str">
            <v>Doubravice nad Svitavou</v>
          </cell>
        </row>
        <row r="986">
          <cell r="T986" t="str">
            <v>Doubravička</v>
          </cell>
        </row>
        <row r="987">
          <cell r="T987" t="str">
            <v>Doubravník</v>
          </cell>
        </row>
        <row r="988">
          <cell r="T988" t="str">
            <v>Doubravy</v>
          </cell>
        </row>
        <row r="989">
          <cell r="T989" t="str">
            <v>Doudleby</v>
          </cell>
        </row>
        <row r="990">
          <cell r="T990" t="str">
            <v>Doudleby nad Orlicí</v>
          </cell>
        </row>
        <row r="991">
          <cell r="T991" t="str">
            <v>Doupě</v>
          </cell>
        </row>
        <row r="992">
          <cell r="T992" t="str">
            <v>Drahanovice</v>
          </cell>
        </row>
        <row r="993">
          <cell r="T993" t="str">
            <v>Drahany</v>
          </cell>
        </row>
        <row r="994">
          <cell r="T994" t="str">
            <v>Drahelčice</v>
          </cell>
        </row>
        <row r="995">
          <cell r="T995" t="str">
            <v>Drahenice</v>
          </cell>
        </row>
        <row r="996">
          <cell r="T996" t="str">
            <v>Drahkov</v>
          </cell>
        </row>
        <row r="997">
          <cell r="T997" t="str">
            <v>Drahlín</v>
          </cell>
        </row>
        <row r="998">
          <cell r="T998" t="str">
            <v>Drahňovice</v>
          </cell>
        </row>
        <row r="999">
          <cell r="T999" t="str">
            <v>Drahobudice</v>
          </cell>
        </row>
        <row r="1000">
          <cell r="T1000" t="str">
            <v>Drahobuz</v>
          </cell>
        </row>
        <row r="1001">
          <cell r="T1001" t="str">
            <v>Drahonice</v>
          </cell>
        </row>
        <row r="1002">
          <cell r="T1002" t="str">
            <v>Drahonín</v>
          </cell>
        </row>
        <row r="1003">
          <cell r="T1003" t="str">
            <v>Drahoňův Újezd</v>
          </cell>
        </row>
        <row r="1004">
          <cell r="T1004" t="str">
            <v>Drahotěšice</v>
          </cell>
        </row>
        <row r="1005">
          <cell r="T1005" t="str">
            <v>Drahotín</v>
          </cell>
        </row>
        <row r="1006">
          <cell r="T1006" t="str">
            <v>Drahouš</v>
          </cell>
        </row>
        <row r="1007">
          <cell r="T1007" t="str">
            <v>Drahov</v>
          </cell>
        </row>
        <row r="1008">
          <cell r="T1008" t="str">
            <v>Drachkov</v>
          </cell>
        </row>
        <row r="1009">
          <cell r="T1009" t="str">
            <v>Dráchov</v>
          </cell>
        </row>
        <row r="1010">
          <cell r="T1010" t="str">
            <v>Drásov</v>
          </cell>
        </row>
        <row r="1011">
          <cell r="T1011" t="str">
            <v>Drásov</v>
          </cell>
        </row>
        <row r="1012">
          <cell r="T1012" t="str">
            <v>Dražeň</v>
          </cell>
        </row>
        <row r="1013">
          <cell r="T1013" t="str">
            <v>Draženov</v>
          </cell>
        </row>
        <row r="1014">
          <cell r="T1014" t="str">
            <v>Dražice</v>
          </cell>
        </row>
        <row r="1015">
          <cell r="T1015" t="str">
            <v>Dražíč</v>
          </cell>
        </row>
        <row r="1016">
          <cell r="T1016" t="str">
            <v>Dražičky</v>
          </cell>
        </row>
        <row r="1017">
          <cell r="T1017" t="str">
            <v>Drážov</v>
          </cell>
        </row>
        <row r="1018">
          <cell r="T1018" t="str">
            <v>Dražovice</v>
          </cell>
        </row>
        <row r="1019">
          <cell r="T1019" t="str">
            <v>Dražovice</v>
          </cell>
        </row>
        <row r="1020">
          <cell r="T1020" t="str">
            <v>Dražůvky</v>
          </cell>
        </row>
        <row r="1021">
          <cell r="T1021" t="str">
            <v>Drevníky</v>
          </cell>
        </row>
        <row r="1022">
          <cell r="T1022" t="str">
            <v>Drhovice</v>
          </cell>
        </row>
        <row r="1023">
          <cell r="T1023" t="str">
            <v>Drhovle</v>
          </cell>
        </row>
        <row r="1024">
          <cell r="T1024" t="str">
            <v>Drhovy</v>
          </cell>
        </row>
        <row r="1025">
          <cell r="T1025" t="str">
            <v>Drmoul</v>
          </cell>
        </row>
        <row r="1026">
          <cell r="T1026" t="str">
            <v>Drnek</v>
          </cell>
        </row>
        <row r="1027">
          <cell r="T1027" t="str">
            <v>Drnholec</v>
          </cell>
        </row>
        <row r="1028">
          <cell r="T1028" t="str">
            <v>Drnovice</v>
          </cell>
        </row>
        <row r="1029">
          <cell r="T1029" t="str">
            <v>Drnovice</v>
          </cell>
        </row>
        <row r="1030">
          <cell r="T1030" t="str">
            <v>Drnovice</v>
          </cell>
        </row>
        <row r="1031">
          <cell r="T1031" t="str">
            <v>Drobovice</v>
          </cell>
        </row>
        <row r="1032">
          <cell r="T1032" t="str">
            <v>Droužetice</v>
          </cell>
        </row>
        <row r="1033">
          <cell r="T1033" t="str">
            <v>Droužkovice</v>
          </cell>
        </row>
        <row r="1034">
          <cell r="T1034" t="str">
            <v>Drozdov</v>
          </cell>
        </row>
        <row r="1035">
          <cell r="T1035" t="str">
            <v>Drozdov</v>
          </cell>
        </row>
        <row r="1036">
          <cell r="T1036" t="str">
            <v>Drslavice</v>
          </cell>
        </row>
        <row r="1037">
          <cell r="T1037" t="str">
            <v>Drslavice</v>
          </cell>
        </row>
        <row r="1038">
          <cell r="T1038" t="str">
            <v>Druhanov</v>
          </cell>
        </row>
        <row r="1039">
          <cell r="T1039" t="str">
            <v>Drunče</v>
          </cell>
        </row>
        <row r="1040">
          <cell r="T1040" t="str">
            <v>Druztová</v>
          </cell>
        </row>
        <row r="1041">
          <cell r="T1041" t="str">
            <v>Družec</v>
          </cell>
        </row>
        <row r="1042">
          <cell r="T1042" t="str">
            <v>Drysice</v>
          </cell>
        </row>
        <row r="1043">
          <cell r="T1043" t="str">
            <v>Držkov</v>
          </cell>
        </row>
        <row r="1044">
          <cell r="T1044" t="str">
            <v>Držková</v>
          </cell>
        </row>
        <row r="1045">
          <cell r="T1045" t="str">
            <v>Držovice</v>
          </cell>
        </row>
        <row r="1046">
          <cell r="T1046" t="str">
            <v>Dřenice</v>
          </cell>
        </row>
        <row r="1047">
          <cell r="T1047" t="str">
            <v>Dřešín</v>
          </cell>
        </row>
        <row r="1048">
          <cell r="T1048" t="str">
            <v>Dřetovice</v>
          </cell>
        </row>
        <row r="1049">
          <cell r="T1049" t="str">
            <v>Dřevčice</v>
          </cell>
        </row>
        <row r="1050">
          <cell r="T1050" t="str">
            <v>Dřevěnice</v>
          </cell>
        </row>
        <row r="1051">
          <cell r="T1051" t="str">
            <v>Dřevnovice</v>
          </cell>
        </row>
        <row r="1052">
          <cell r="T1052" t="str">
            <v>Dřevohostice</v>
          </cell>
        </row>
        <row r="1053">
          <cell r="T1053" t="str">
            <v>Dřínov</v>
          </cell>
        </row>
        <row r="1054">
          <cell r="T1054" t="str">
            <v>Dřínov</v>
          </cell>
        </row>
        <row r="1055">
          <cell r="T1055" t="str">
            <v>Dřínov</v>
          </cell>
        </row>
        <row r="1056">
          <cell r="T1056" t="str">
            <v>Dřísy</v>
          </cell>
        </row>
        <row r="1057">
          <cell r="T1057" t="str">
            <v>Dříteč</v>
          </cell>
        </row>
        <row r="1058">
          <cell r="T1058" t="str">
            <v>Dříteň</v>
          </cell>
        </row>
        <row r="1059">
          <cell r="T1059" t="str">
            <v>Dub</v>
          </cell>
        </row>
        <row r="1060">
          <cell r="T1060" t="str">
            <v>Dub nad Moravou</v>
          </cell>
        </row>
        <row r="1061">
          <cell r="T1061" t="str">
            <v>Dubá</v>
          </cell>
        </row>
        <row r="1062">
          <cell r="T1062" t="str">
            <v>Dubany</v>
          </cell>
        </row>
        <row r="1063">
          <cell r="T1063" t="str">
            <v>Dubčany</v>
          </cell>
        </row>
        <row r="1064">
          <cell r="T1064" t="str">
            <v>Dubenec</v>
          </cell>
        </row>
        <row r="1065">
          <cell r="T1065" t="str">
            <v>Dubenec</v>
          </cell>
        </row>
        <row r="1066">
          <cell r="T1066" t="str">
            <v>Dubí</v>
          </cell>
        </row>
        <row r="1067">
          <cell r="T1067" t="str">
            <v>Dubicko</v>
          </cell>
        </row>
        <row r="1068">
          <cell r="T1068" t="str">
            <v>Dubičné</v>
          </cell>
        </row>
        <row r="1069">
          <cell r="T1069" t="str">
            <v>Dublovice</v>
          </cell>
        </row>
        <row r="1070">
          <cell r="T1070" t="str">
            <v>Dubňany</v>
          </cell>
        </row>
        <row r="1071">
          <cell r="T1071" t="str">
            <v>Dubné</v>
          </cell>
        </row>
        <row r="1072">
          <cell r="T1072" t="str">
            <v>Dubnice</v>
          </cell>
        </row>
        <row r="1073">
          <cell r="T1073" t="str">
            <v>Dubno</v>
          </cell>
        </row>
        <row r="1074">
          <cell r="T1074" t="str">
            <v>Dubovice</v>
          </cell>
        </row>
        <row r="1075">
          <cell r="T1075" t="str">
            <v>Dudín</v>
          </cell>
        </row>
        <row r="1076">
          <cell r="T1076" t="str">
            <v>Duchcov</v>
          </cell>
        </row>
        <row r="1077">
          <cell r="T1077" t="str">
            <v>Dukovany</v>
          </cell>
        </row>
        <row r="1078">
          <cell r="T1078" t="str">
            <v>Důl</v>
          </cell>
        </row>
        <row r="1079">
          <cell r="T1079" t="str">
            <v>Dunajovice</v>
          </cell>
        </row>
        <row r="1080">
          <cell r="T1080" t="str">
            <v>Dunice</v>
          </cell>
        </row>
        <row r="1081">
          <cell r="T1081" t="str">
            <v>Dušejov</v>
          </cell>
        </row>
        <row r="1082">
          <cell r="T1082" t="str">
            <v>Dušníky</v>
          </cell>
        </row>
        <row r="1083">
          <cell r="T1083" t="str">
            <v>Dvakačovice</v>
          </cell>
        </row>
        <row r="1084">
          <cell r="T1084" t="str">
            <v>Dvorce</v>
          </cell>
        </row>
        <row r="1085">
          <cell r="T1085" t="str">
            <v>Dvorce</v>
          </cell>
        </row>
        <row r="1086">
          <cell r="T1086" t="str">
            <v>Dvory</v>
          </cell>
        </row>
        <row r="1087">
          <cell r="T1087" t="str">
            <v>Dvory</v>
          </cell>
        </row>
        <row r="1088">
          <cell r="T1088" t="str">
            <v>Dvory nad Lužnicí</v>
          </cell>
        </row>
        <row r="1089">
          <cell r="T1089" t="str">
            <v>Dvůr Králové nad Labem</v>
          </cell>
        </row>
        <row r="1090">
          <cell r="T1090" t="str">
            <v>Dyjákovice</v>
          </cell>
        </row>
        <row r="1091">
          <cell r="T1091" t="str">
            <v>Dyjákovičky</v>
          </cell>
        </row>
        <row r="1092">
          <cell r="T1092" t="str">
            <v>Dyje</v>
          </cell>
        </row>
        <row r="1093">
          <cell r="T1093" t="str">
            <v>Dyjice</v>
          </cell>
        </row>
        <row r="1094">
          <cell r="T1094" t="str">
            <v>Dymokury</v>
          </cell>
        </row>
        <row r="1095">
          <cell r="T1095" t="str">
            <v>Dynín</v>
          </cell>
        </row>
        <row r="1096">
          <cell r="T1096" t="str">
            <v>Dýšina</v>
          </cell>
        </row>
        <row r="1097">
          <cell r="T1097" t="str">
            <v>Dzbel</v>
          </cell>
        </row>
        <row r="1098">
          <cell r="T1098" t="str">
            <v>Džbánice</v>
          </cell>
        </row>
        <row r="1099">
          <cell r="T1099" t="str">
            <v>Džbánov</v>
          </cell>
        </row>
        <row r="1100">
          <cell r="T1100" t="str">
            <v>Ejpovice</v>
          </cell>
        </row>
        <row r="1101">
          <cell r="T1101" t="str">
            <v>Erpužice</v>
          </cell>
        </row>
        <row r="1102">
          <cell r="T1102" t="str">
            <v>Eš</v>
          </cell>
        </row>
        <row r="1103">
          <cell r="T1103" t="str">
            <v>Evaň</v>
          </cell>
        </row>
        <row r="1104">
          <cell r="T1104" t="str">
            <v>Felbabka</v>
          </cell>
        </row>
        <row r="1105">
          <cell r="T1105" t="str">
            <v>Frahelž</v>
          </cell>
        </row>
        <row r="1106">
          <cell r="T1106" t="str">
            <v>Francova Lhota</v>
          </cell>
        </row>
        <row r="1107">
          <cell r="T1107" t="str">
            <v>Františkov nad Ploučnicí</v>
          </cell>
        </row>
        <row r="1108">
          <cell r="T1108" t="str">
            <v>Františkovy Lázně</v>
          </cell>
        </row>
        <row r="1109">
          <cell r="T1109" t="str">
            <v>Frenštát pod Radhoštěm</v>
          </cell>
        </row>
        <row r="1110">
          <cell r="T1110" t="str">
            <v>Fryčovice</v>
          </cell>
        </row>
        <row r="1111">
          <cell r="T1111" t="str">
            <v>Frýdek-Místek</v>
          </cell>
        </row>
        <row r="1112">
          <cell r="T1112" t="str">
            <v>Frýdlant</v>
          </cell>
        </row>
        <row r="1113">
          <cell r="T1113" t="str">
            <v>Frýdlant nad Ostravicí</v>
          </cell>
        </row>
        <row r="1114">
          <cell r="T1114" t="str">
            <v>Frýdštejn</v>
          </cell>
        </row>
        <row r="1115">
          <cell r="T1115" t="str">
            <v>Frymburk</v>
          </cell>
        </row>
        <row r="1116">
          <cell r="T1116" t="str">
            <v>Frymburk</v>
          </cell>
        </row>
        <row r="1117">
          <cell r="T1117" t="str">
            <v>Fryšava pod Žákovou horou</v>
          </cell>
        </row>
        <row r="1118">
          <cell r="T1118" t="str">
            <v>Fryšták</v>
          </cell>
        </row>
        <row r="1119">
          <cell r="T1119" t="str">
            <v>Fulnek</v>
          </cell>
        </row>
        <row r="1120">
          <cell r="T1120" t="str">
            <v>Golčův Jeníkov</v>
          </cell>
        </row>
        <row r="1121">
          <cell r="T1121" t="str">
            <v>Grešlové Mýto</v>
          </cell>
        </row>
        <row r="1122">
          <cell r="T1122" t="str">
            <v>Gruna</v>
          </cell>
        </row>
        <row r="1123">
          <cell r="T1123" t="str">
            <v>Grunta</v>
          </cell>
        </row>
        <row r="1124">
          <cell r="T1124" t="str">
            <v>Grygov</v>
          </cell>
        </row>
        <row r="1125">
          <cell r="T1125" t="str">
            <v>Grymov</v>
          </cell>
        </row>
        <row r="1126">
          <cell r="T1126" t="str">
            <v>Habartice</v>
          </cell>
        </row>
        <row r="1127">
          <cell r="T1127" t="str">
            <v>Habartov</v>
          </cell>
        </row>
        <row r="1128">
          <cell r="T1128" t="str">
            <v>Habrovany</v>
          </cell>
        </row>
        <row r="1129">
          <cell r="T1129" t="str">
            <v>Habrovany</v>
          </cell>
        </row>
        <row r="1130">
          <cell r="T1130" t="str">
            <v>Habrůvka</v>
          </cell>
        </row>
        <row r="1131">
          <cell r="T1131" t="str">
            <v>Habry</v>
          </cell>
        </row>
        <row r="1132">
          <cell r="T1132" t="str">
            <v>Habří</v>
          </cell>
        </row>
        <row r="1133">
          <cell r="T1133" t="str">
            <v>Habřina</v>
          </cell>
        </row>
        <row r="1134">
          <cell r="T1134" t="str">
            <v>Hačky</v>
          </cell>
        </row>
        <row r="1135">
          <cell r="T1135" t="str">
            <v>Hadravova Rosička</v>
          </cell>
        </row>
        <row r="1136">
          <cell r="T1136" t="str">
            <v>Háj u Duchcova</v>
          </cell>
        </row>
        <row r="1137">
          <cell r="T1137" t="str">
            <v>Háj ve Slezsku</v>
          </cell>
        </row>
        <row r="1138">
          <cell r="T1138" t="str">
            <v>Hajany</v>
          </cell>
        </row>
        <row r="1139">
          <cell r="T1139" t="str">
            <v>Hajany</v>
          </cell>
        </row>
        <row r="1140">
          <cell r="T1140" t="str">
            <v>Háje</v>
          </cell>
        </row>
        <row r="1141">
          <cell r="T1141" t="str">
            <v>Háje nad Jizerou</v>
          </cell>
        </row>
        <row r="1142">
          <cell r="T1142" t="str">
            <v>Hájek</v>
          </cell>
        </row>
        <row r="1143">
          <cell r="T1143" t="str">
            <v>Hájek</v>
          </cell>
        </row>
        <row r="1144">
          <cell r="T1144" t="str">
            <v>Hajnice</v>
          </cell>
        </row>
        <row r="1145">
          <cell r="T1145" t="str">
            <v>Halámky</v>
          </cell>
        </row>
        <row r="1146">
          <cell r="T1146" t="str">
            <v>Halenkov</v>
          </cell>
        </row>
        <row r="1147">
          <cell r="T1147" t="str">
            <v>Halenkovice</v>
          </cell>
        </row>
        <row r="1148">
          <cell r="T1148" t="str">
            <v>Haluzice</v>
          </cell>
        </row>
        <row r="1149">
          <cell r="T1149" t="str">
            <v>Halže</v>
          </cell>
        </row>
        <row r="1150">
          <cell r="T1150" t="str">
            <v>Hamr</v>
          </cell>
        </row>
        <row r="1151">
          <cell r="T1151" t="str">
            <v>Hamr na Jezeře</v>
          </cell>
        </row>
        <row r="1152">
          <cell r="T1152" t="str">
            <v>Hamry</v>
          </cell>
        </row>
        <row r="1153">
          <cell r="T1153" t="str">
            <v>Hamry</v>
          </cell>
        </row>
        <row r="1154">
          <cell r="T1154" t="str">
            <v>Hamry nad Sázavou</v>
          </cell>
        </row>
        <row r="1155">
          <cell r="T1155" t="str">
            <v>Haňovice</v>
          </cell>
        </row>
        <row r="1156">
          <cell r="T1156" t="str">
            <v>Hanušovice</v>
          </cell>
        </row>
        <row r="1157">
          <cell r="T1157" t="str">
            <v>Harrachov</v>
          </cell>
        </row>
        <row r="1158">
          <cell r="T1158" t="str">
            <v>Hartinkov</v>
          </cell>
        </row>
        <row r="1159">
          <cell r="T1159" t="str">
            <v>Hartmanice</v>
          </cell>
        </row>
        <row r="1160">
          <cell r="T1160" t="str">
            <v>Hartmanice</v>
          </cell>
        </row>
        <row r="1161">
          <cell r="T1161" t="str">
            <v>Hartmanice</v>
          </cell>
        </row>
        <row r="1162">
          <cell r="T1162" t="str">
            <v>Hartvíkovice</v>
          </cell>
        </row>
        <row r="1163">
          <cell r="T1163" t="str">
            <v>Haškovcova Lhota</v>
          </cell>
        </row>
        <row r="1164">
          <cell r="T1164" t="str">
            <v>Hať</v>
          </cell>
        </row>
        <row r="1165">
          <cell r="T1165" t="str">
            <v>Hatín</v>
          </cell>
        </row>
        <row r="1166">
          <cell r="T1166" t="str">
            <v>Havířov</v>
          </cell>
        </row>
        <row r="1167">
          <cell r="T1167" t="str">
            <v>Havlíčkova Borová</v>
          </cell>
        </row>
        <row r="1168">
          <cell r="T1168" t="str">
            <v>Havlíčkův Brod</v>
          </cell>
        </row>
        <row r="1169">
          <cell r="T1169" t="str">
            <v>Havlovice</v>
          </cell>
        </row>
        <row r="1170">
          <cell r="T1170" t="str">
            <v>Havraň</v>
          </cell>
        </row>
        <row r="1171">
          <cell r="T1171" t="str">
            <v>Havraníky</v>
          </cell>
        </row>
        <row r="1172">
          <cell r="T1172" t="str">
            <v>Hazlov</v>
          </cell>
        </row>
        <row r="1173">
          <cell r="T1173" t="str">
            <v>Hejná</v>
          </cell>
        </row>
        <row r="1174">
          <cell r="T1174" t="str">
            <v>Hejnice</v>
          </cell>
        </row>
        <row r="1175">
          <cell r="T1175" t="str">
            <v>Hejnice</v>
          </cell>
        </row>
        <row r="1176">
          <cell r="T1176" t="str">
            <v>Hejtmánkovice</v>
          </cell>
        </row>
        <row r="1177">
          <cell r="T1177" t="str">
            <v>Helvíkovice</v>
          </cell>
        </row>
        <row r="1178">
          <cell r="T1178" t="str">
            <v>Herálec</v>
          </cell>
        </row>
        <row r="1179">
          <cell r="T1179" t="str">
            <v>Herálec</v>
          </cell>
        </row>
        <row r="1180">
          <cell r="T1180" t="str">
            <v>Heraltice</v>
          </cell>
        </row>
        <row r="1181">
          <cell r="T1181" t="str">
            <v>Herink</v>
          </cell>
        </row>
        <row r="1182">
          <cell r="T1182" t="str">
            <v>Heroltice</v>
          </cell>
        </row>
        <row r="1183">
          <cell r="T1183" t="str">
            <v>Heršpice</v>
          </cell>
        </row>
        <row r="1184">
          <cell r="T1184" t="str">
            <v>Heřmaň</v>
          </cell>
        </row>
        <row r="1185">
          <cell r="T1185" t="str">
            <v>Heřmaň</v>
          </cell>
        </row>
        <row r="1186">
          <cell r="T1186" t="str">
            <v>Heřmaneč</v>
          </cell>
        </row>
        <row r="1187">
          <cell r="T1187" t="str">
            <v>Heřmanice</v>
          </cell>
        </row>
        <row r="1188">
          <cell r="T1188" t="str">
            <v>Heřmanice</v>
          </cell>
        </row>
        <row r="1189">
          <cell r="T1189" t="str">
            <v>Heřmanice</v>
          </cell>
        </row>
        <row r="1190">
          <cell r="T1190" t="str">
            <v>Heřmanice u Oder</v>
          </cell>
        </row>
        <row r="1191">
          <cell r="T1191" t="str">
            <v>Heřmaničky</v>
          </cell>
        </row>
        <row r="1192">
          <cell r="T1192" t="str">
            <v>Heřmánkovice</v>
          </cell>
        </row>
        <row r="1193">
          <cell r="T1193" t="str">
            <v>Heřmánky</v>
          </cell>
        </row>
        <row r="1194">
          <cell r="T1194" t="str">
            <v>Heřmanov</v>
          </cell>
        </row>
        <row r="1195">
          <cell r="T1195" t="str">
            <v>Heřmanov</v>
          </cell>
        </row>
        <row r="1196">
          <cell r="T1196" t="str">
            <v>Heřmanova Huť</v>
          </cell>
        </row>
        <row r="1197">
          <cell r="T1197" t="str">
            <v>Heřmanovice</v>
          </cell>
        </row>
        <row r="1198">
          <cell r="T1198" t="str">
            <v>Heřmanův Městec</v>
          </cell>
        </row>
        <row r="1199">
          <cell r="T1199" t="str">
            <v>Hevlín</v>
          </cell>
        </row>
        <row r="1200">
          <cell r="T1200" t="str">
            <v>Hladké Životice</v>
          </cell>
        </row>
        <row r="1201">
          <cell r="T1201" t="str">
            <v>Hladov</v>
          </cell>
        </row>
        <row r="1202">
          <cell r="T1202" t="str">
            <v>Hlasivo</v>
          </cell>
        </row>
        <row r="1203">
          <cell r="T1203" t="str">
            <v>Hlásná Třebaň</v>
          </cell>
        </row>
        <row r="1204">
          <cell r="T1204" t="str">
            <v>Hlásnice</v>
          </cell>
        </row>
        <row r="1205">
          <cell r="T1205" t="str">
            <v>Hlavatce</v>
          </cell>
        </row>
        <row r="1206">
          <cell r="T1206" t="str">
            <v>Hlavatce</v>
          </cell>
        </row>
        <row r="1207">
          <cell r="T1207" t="str">
            <v>Hlavečník</v>
          </cell>
        </row>
        <row r="1208">
          <cell r="T1208" t="str">
            <v>Hlavenec</v>
          </cell>
        </row>
        <row r="1209">
          <cell r="T1209" t="str">
            <v>Hlavice</v>
          </cell>
        </row>
        <row r="1210">
          <cell r="T1210" t="str">
            <v>Hlavnice</v>
          </cell>
        </row>
        <row r="1211">
          <cell r="T1211" t="str">
            <v>Hlavňovice</v>
          </cell>
        </row>
        <row r="1212">
          <cell r="T1212" t="str">
            <v>Hlína</v>
          </cell>
        </row>
        <row r="1213">
          <cell r="T1213" t="str">
            <v>Hlince</v>
          </cell>
        </row>
        <row r="1214">
          <cell r="T1214" t="str">
            <v>Hlincová Hora</v>
          </cell>
        </row>
        <row r="1215">
          <cell r="T1215" t="str">
            <v>Hlinka</v>
          </cell>
        </row>
        <row r="1216">
          <cell r="T1216" t="str">
            <v>Hlinná</v>
          </cell>
        </row>
        <row r="1217">
          <cell r="T1217" t="str">
            <v>Hlinsko</v>
          </cell>
        </row>
        <row r="1218">
          <cell r="T1218" t="str">
            <v>Hlinsko</v>
          </cell>
        </row>
        <row r="1219">
          <cell r="T1219" t="str">
            <v>Hlízov</v>
          </cell>
        </row>
        <row r="1220">
          <cell r="T1220" t="str">
            <v>Hlohová</v>
          </cell>
        </row>
        <row r="1221">
          <cell r="T1221" t="str">
            <v>Hlohovčice</v>
          </cell>
        </row>
        <row r="1222">
          <cell r="T1222" t="str">
            <v>Hlohovec</v>
          </cell>
        </row>
        <row r="1223">
          <cell r="T1223" t="str">
            <v>Hlohovice</v>
          </cell>
        </row>
        <row r="1224">
          <cell r="T1224" t="str">
            <v>Hlubočany</v>
          </cell>
        </row>
        <row r="1225">
          <cell r="T1225" t="str">
            <v>Hlubočec</v>
          </cell>
        </row>
        <row r="1226">
          <cell r="T1226" t="str">
            <v>Hlubočky</v>
          </cell>
        </row>
        <row r="1227">
          <cell r="T1227" t="str">
            <v>Hluboká</v>
          </cell>
        </row>
        <row r="1228">
          <cell r="T1228" t="str">
            <v>Hluboká nad Vltavou</v>
          </cell>
        </row>
        <row r="1229">
          <cell r="T1229" t="str">
            <v>Hluboké</v>
          </cell>
        </row>
        <row r="1230">
          <cell r="T1230" t="str">
            <v>Hluboké Dvory</v>
          </cell>
        </row>
        <row r="1231">
          <cell r="T1231" t="str">
            <v>Hluboké Mašůvky</v>
          </cell>
        </row>
        <row r="1232">
          <cell r="T1232" t="str">
            <v>Hluboš</v>
          </cell>
        </row>
        <row r="1233">
          <cell r="T1233" t="str">
            <v>Hlubyně</v>
          </cell>
        </row>
        <row r="1234">
          <cell r="T1234" t="str">
            <v>Hlučín</v>
          </cell>
        </row>
        <row r="1235">
          <cell r="T1235" t="str">
            <v>Hluchov</v>
          </cell>
        </row>
        <row r="1236">
          <cell r="T1236" t="str">
            <v>Hluk</v>
          </cell>
        </row>
        <row r="1237">
          <cell r="T1237" t="str">
            <v>Hlupín</v>
          </cell>
        </row>
        <row r="1238">
          <cell r="T1238" t="str">
            <v>Hlušice</v>
          </cell>
        </row>
        <row r="1239">
          <cell r="T1239" t="str">
            <v>Hlušovice</v>
          </cell>
        </row>
        <row r="1240">
          <cell r="T1240" t="str">
            <v>Hnačov</v>
          </cell>
        </row>
        <row r="1241">
          <cell r="T1241" t="str">
            <v>Hnanice</v>
          </cell>
        </row>
        <row r="1242">
          <cell r="T1242" t="str">
            <v>Hnátnice</v>
          </cell>
        </row>
        <row r="1243">
          <cell r="T1243" t="str">
            <v>Hněvčeves</v>
          </cell>
        </row>
        <row r="1244">
          <cell r="T1244" t="str">
            <v>Hněvkovice</v>
          </cell>
        </row>
        <row r="1245">
          <cell r="T1245" t="str">
            <v>Hněvnice</v>
          </cell>
        </row>
        <row r="1246">
          <cell r="T1246" t="str">
            <v>Hněvošice</v>
          </cell>
        </row>
        <row r="1247">
          <cell r="T1247" t="str">
            <v>Hněvotín</v>
          </cell>
        </row>
        <row r="1248">
          <cell r="T1248" t="str">
            <v>Hnojice</v>
          </cell>
        </row>
        <row r="1249">
          <cell r="T1249" t="str">
            <v>Hnojník</v>
          </cell>
        </row>
        <row r="1250">
          <cell r="T1250" t="str">
            <v>Hobšovice</v>
          </cell>
        </row>
        <row r="1251">
          <cell r="T1251" t="str">
            <v>Hodějice</v>
          </cell>
        </row>
        <row r="1252">
          <cell r="T1252" t="str">
            <v>Hodětín</v>
          </cell>
        </row>
        <row r="1253">
          <cell r="T1253" t="str">
            <v>Hodice</v>
          </cell>
        </row>
        <row r="1254">
          <cell r="T1254" t="str">
            <v>Hodíškov</v>
          </cell>
        </row>
        <row r="1255">
          <cell r="T1255" t="str">
            <v>Hodkovice nad Mohelkou</v>
          </cell>
        </row>
        <row r="1256">
          <cell r="T1256" t="str">
            <v>Hodonice</v>
          </cell>
        </row>
        <row r="1257">
          <cell r="T1257" t="str">
            <v>Hodonice</v>
          </cell>
        </row>
        <row r="1258">
          <cell r="T1258" t="str">
            <v>Hodonín</v>
          </cell>
        </row>
        <row r="1259">
          <cell r="T1259" t="str">
            <v>Hodonín</v>
          </cell>
        </row>
        <row r="1260">
          <cell r="T1260" t="str">
            <v>Hodonín</v>
          </cell>
        </row>
        <row r="1261">
          <cell r="T1261" t="str">
            <v>Hodov</v>
          </cell>
        </row>
        <row r="1262">
          <cell r="T1262" t="str">
            <v>Hodslavice</v>
          </cell>
        </row>
        <row r="1263">
          <cell r="T1263" t="str">
            <v>Hojanovice</v>
          </cell>
        </row>
        <row r="1264">
          <cell r="T1264" t="str">
            <v>Hojkov</v>
          </cell>
        </row>
        <row r="1265">
          <cell r="T1265" t="str">
            <v>Hojovice</v>
          </cell>
        </row>
        <row r="1266">
          <cell r="T1266" t="str">
            <v>Holany</v>
          </cell>
        </row>
        <row r="1267">
          <cell r="T1267" t="str">
            <v>Holasice</v>
          </cell>
        </row>
        <row r="1268">
          <cell r="T1268" t="str">
            <v>Holasovice</v>
          </cell>
        </row>
        <row r="1269">
          <cell r="T1269" t="str">
            <v>Holčovice</v>
          </cell>
        </row>
        <row r="1270">
          <cell r="T1270" t="str">
            <v>Holedeč</v>
          </cell>
        </row>
        <row r="1271">
          <cell r="T1271" t="str">
            <v>Holenice</v>
          </cell>
        </row>
        <row r="1272">
          <cell r="T1272" t="str">
            <v>Holešov</v>
          </cell>
        </row>
        <row r="1273">
          <cell r="T1273" t="str">
            <v>Holetín</v>
          </cell>
        </row>
        <row r="1274">
          <cell r="T1274" t="str">
            <v>Holice</v>
          </cell>
        </row>
        <row r="1275">
          <cell r="T1275" t="str">
            <v>Holín</v>
          </cell>
        </row>
        <row r="1276">
          <cell r="T1276" t="str">
            <v>Holohlavy</v>
          </cell>
        </row>
        <row r="1277">
          <cell r="T1277" t="str">
            <v>Holotín</v>
          </cell>
        </row>
        <row r="1278">
          <cell r="T1278" t="str">
            <v>Holoubkov</v>
          </cell>
        </row>
        <row r="1279">
          <cell r="T1279" t="str">
            <v>Holovousy</v>
          </cell>
        </row>
        <row r="1280">
          <cell r="T1280" t="str">
            <v>Holovousy</v>
          </cell>
        </row>
        <row r="1281">
          <cell r="T1281" t="str">
            <v>Holštejn</v>
          </cell>
        </row>
        <row r="1282">
          <cell r="T1282" t="str">
            <v>Holubice</v>
          </cell>
        </row>
        <row r="1283">
          <cell r="T1283" t="str">
            <v>Holubice</v>
          </cell>
        </row>
        <row r="1284">
          <cell r="T1284" t="str">
            <v>Holubov</v>
          </cell>
        </row>
        <row r="1285">
          <cell r="T1285" t="str">
            <v>Holýšov</v>
          </cell>
        </row>
        <row r="1286">
          <cell r="T1286" t="str">
            <v>Homole</v>
          </cell>
        </row>
        <row r="1287">
          <cell r="T1287" t="str">
            <v>Homole u Panny</v>
          </cell>
        </row>
        <row r="1288">
          <cell r="T1288" t="str">
            <v>Honbice</v>
          </cell>
        </row>
        <row r="1289">
          <cell r="T1289" t="str">
            <v>Honětice</v>
          </cell>
        </row>
        <row r="1290">
          <cell r="T1290" t="str">
            <v>Honezovice</v>
          </cell>
        </row>
        <row r="1291">
          <cell r="T1291" t="str">
            <v>Hora Svaté Kateřiny</v>
          </cell>
        </row>
        <row r="1292">
          <cell r="T1292" t="str">
            <v>Hora Svatého Šebestiána</v>
          </cell>
        </row>
        <row r="1293">
          <cell r="T1293" t="str">
            <v>Hora Svatého Václava</v>
          </cell>
        </row>
        <row r="1294">
          <cell r="T1294" t="str">
            <v>Horažďovice</v>
          </cell>
        </row>
        <row r="1295">
          <cell r="T1295" t="str">
            <v>Horčápsko</v>
          </cell>
        </row>
        <row r="1296">
          <cell r="T1296" t="str">
            <v>Horka</v>
          </cell>
        </row>
        <row r="1297">
          <cell r="T1297" t="str">
            <v>Horka I</v>
          </cell>
        </row>
        <row r="1298">
          <cell r="T1298" t="str">
            <v>Horka II</v>
          </cell>
        </row>
        <row r="1299">
          <cell r="T1299" t="str">
            <v>Horka nad Moravou</v>
          </cell>
        </row>
        <row r="1300">
          <cell r="T1300" t="str">
            <v>Horka u Staré Paky</v>
          </cell>
        </row>
        <row r="1301">
          <cell r="T1301" t="str">
            <v>Horky</v>
          </cell>
        </row>
        <row r="1302">
          <cell r="T1302" t="str">
            <v>Horky</v>
          </cell>
        </row>
        <row r="1303">
          <cell r="T1303" t="str">
            <v>Horky nad Jizerou</v>
          </cell>
        </row>
        <row r="1304">
          <cell r="T1304" t="str">
            <v>Horní Bečva</v>
          </cell>
        </row>
        <row r="1305">
          <cell r="T1305" t="str">
            <v>Horní Bělá</v>
          </cell>
        </row>
        <row r="1306">
          <cell r="T1306" t="str">
            <v>Horní Benešov</v>
          </cell>
        </row>
        <row r="1307">
          <cell r="T1307" t="str">
            <v>Horní Beřkovice</v>
          </cell>
        </row>
        <row r="1308">
          <cell r="T1308" t="str">
            <v>Horní Bezděkov</v>
          </cell>
        </row>
        <row r="1309">
          <cell r="T1309" t="str">
            <v>Horní Blatná</v>
          </cell>
        </row>
        <row r="1310">
          <cell r="T1310" t="str">
            <v>Horní Bludovice</v>
          </cell>
        </row>
        <row r="1311">
          <cell r="T1311" t="str">
            <v>Horní Bojanovice</v>
          </cell>
        </row>
        <row r="1312">
          <cell r="T1312" t="str">
            <v>Horní Bradlo</v>
          </cell>
        </row>
        <row r="1313">
          <cell r="T1313" t="str">
            <v>Horní Branná</v>
          </cell>
        </row>
        <row r="1314">
          <cell r="T1314" t="str">
            <v>Horní Brusnice</v>
          </cell>
        </row>
        <row r="1315">
          <cell r="T1315" t="str">
            <v>Horní Břečkov</v>
          </cell>
        </row>
        <row r="1316">
          <cell r="T1316" t="str">
            <v>Horní Bříza</v>
          </cell>
        </row>
        <row r="1317">
          <cell r="T1317" t="str">
            <v>Horní Bukovina</v>
          </cell>
        </row>
        <row r="1318">
          <cell r="T1318" t="str">
            <v>Horní Cerekev</v>
          </cell>
        </row>
        <row r="1319">
          <cell r="T1319" t="str">
            <v>Horní Čermná</v>
          </cell>
        </row>
        <row r="1320">
          <cell r="T1320" t="str">
            <v>Horní Domaslavice</v>
          </cell>
        </row>
        <row r="1321">
          <cell r="T1321" t="str">
            <v>Horní Dubenky</v>
          </cell>
        </row>
        <row r="1322">
          <cell r="T1322" t="str">
            <v>Horní Dubňany</v>
          </cell>
        </row>
        <row r="1323">
          <cell r="T1323" t="str">
            <v>Horní Dunajovice</v>
          </cell>
        </row>
        <row r="1324">
          <cell r="T1324" t="str">
            <v>Horní Dvořiště</v>
          </cell>
        </row>
        <row r="1325">
          <cell r="T1325" t="str">
            <v>Horní Habartice</v>
          </cell>
        </row>
        <row r="1326">
          <cell r="T1326" t="str">
            <v>Horní Heřmanice</v>
          </cell>
        </row>
        <row r="1327">
          <cell r="T1327" t="str">
            <v>Horní Heřmanice</v>
          </cell>
        </row>
        <row r="1328">
          <cell r="T1328" t="str">
            <v>Horní Jelení</v>
          </cell>
        </row>
        <row r="1329">
          <cell r="T1329" t="str">
            <v>Horní Jiřetín</v>
          </cell>
        </row>
        <row r="1330">
          <cell r="T1330" t="str">
            <v>Horní Kalná</v>
          </cell>
        </row>
        <row r="1331">
          <cell r="T1331" t="str">
            <v>Horní Kamenice</v>
          </cell>
        </row>
        <row r="1332">
          <cell r="T1332" t="str">
            <v>Horní Kněžeklady</v>
          </cell>
        </row>
        <row r="1333">
          <cell r="T1333" t="str">
            <v>Horní Kounice</v>
          </cell>
        </row>
        <row r="1334">
          <cell r="T1334" t="str">
            <v>Horní Kozolupy</v>
          </cell>
        </row>
        <row r="1335">
          <cell r="T1335" t="str">
            <v>Horní Krupá</v>
          </cell>
        </row>
        <row r="1336">
          <cell r="T1336" t="str">
            <v>Horní Kruty</v>
          </cell>
        </row>
        <row r="1337">
          <cell r="T1337" t="str">
            <v>Horní Lapač</v>
          </cell>
        </row>
        <row r="1338">
          <cell r="T1338" t="str">
            <v>Horní Lhota</v>
          </cell>
        </row>
        <row r="1339">
          <cell r="T1339" t="str">
            <v>Horní Lhota</v>
          </cell>
        </row>
        <row r="1340">
          <cell r="T1340" t="str">
            <v>Horní Libchava</v>
          </cell>
        </row>
        <row r="1341">
          <cell r="T1341" t="str">
            <v>Horní Libochová</v>
          </cell>
        </row>
        <row r="1342">
          <cell r="T1342" t="str">
            <v>Horní Lideč</v>
          </cell>
        </row>
        <row r="1343">
          <cell r="T1343" t="str">
            <v>Horní Loděnice</v>
          </cell>
        </row>
        <row r="1344">
          <cell r="T1344" t="str">
            <v>Horní Lomná</v>
          </cell>
        </row>
        <row r="1345">
          <cell r="T1345" t="str">
            <v>Horní Loučky</v>
          </cell>
        </row>
        <row r="1346">
          <cell r="T1346" t="str">
            <v>Horní Lukavice</v>
          </cell>
        </row>
        <row r="1347">
          <cell r="T1347" t="str">
            <v>Horní Maršov</v>
          </cell>
        </row>
        <row r="1348">
          <cell r="T1348" t="str">
            <v>Horní Město</v>
          </cell>
        </row>
        <row r="1349">
          <cell r="T1349" t="str">
            <v>Horní Meziříčko</v>
          </cell>
        </row>
        <row r="1350">
          <cell r="T1350" t="str">
            <v>Horní Moštěnice</v>
          </cell>
        </row>
        <row r="1351">
          <cell r="T1351" t="str">
            <v>Horní Myslová</v>
          </cell>
        </row>
        <row r="1352">
          <cell r="T1352" t="str">
            <v>Horní Němčí</v>
          </cell>
        </row>
        <row r="1353">
          <cell r="T1353" t="str">
            <v>Horní Němčice</v>
          </cell>
        </row>
        <row r="1354">
          <cell r="T1354" t="str">
            <v>Horní Nětčice</v>
          </cell>
        </row>
        <row r="1355">
          <cell r="T1355" t="str">
            <v>Horní Olešnice</v>
          </cell>
        </row>
        <row r="1356">
          <cell r="T1356" t="str">
            <v>Horní Paseka</v>
          </cell>
        </row>
        <row r="1357">
          <cell r="T1357" t="str">
            <v>Horní Pěna</v>
          </cell>
        </row>
        <row r="1358">
          <cell r="T1358" t="str">
            <v>Horní Planá</v>
          </cell>
        </row>
        <row r="1359">
          <cell r="T1359" t="str">
            <v>Horní Počaply</v>
          </cell>
        </row>
        <row r="1360">
          <cell r="T1360" t="str">
            <v>Horní Podluží</v>
          </cell>
        </row>
        <row r="1361">
          <cell r="T1361" t="str">
            <v>Horní Police</v>
          </cell>
        </row>
        <row r="1362">
          <cell r="T1362" t="str">
            <v>Horní Poříčí</v>
          </cell>
        </row>
        <row r="1363">
          <cell r="T1363" t="str">
            <v>Horní Poříčí</v>
          </cell>
        </row>
        <row r="1364">
          <cell r="T1364" t="str">
            <v>Horní Radechová</v>
          </cell>
        </row>
        <row r="1365">
          <cell r="T1365" t="str">
            <v>Horní Radouň</v>
          </cell>
        </row>
        <row r="1366">
          <cell r="T1366" t="str">
            <v>Horní Radslavice</v>
          </cell>
        </row>
        <row r="1367">
          <cell r="T1367" t="str">
            <v>Horní Rápotice</v>
          </cell>
        </row>
        <row r="1368">
          <cell r="T1368" t="str">
            <v>Horní Rožínka</v>
          </cell>
        </row>
        <row r="1369">
          <cell r="T1369" t="str">
            <v>Horní Řasnice</v>
          </cell>
        </row>
        <row r="1370">
          <cell r="T1370" t="str">
            <v>Horní Ředice</v>
          </cell>
        </row>
        <row r="1371">
          <cell r="T1371" t="str">
            <v>Horní Řepčice</v>
          </cell>
        </row>
        <row r="1372">
          <cell r="T1372" t="str">
            <v>Horní Skrýchov</v>
          </cell>
        </row>
        <row r="1373">
          <cell r="T1373" t="str">
            <v>Horní Slatina</v>
          </cell>
        </row>
        <row r="1374">
          <cell r="T1374" t="str">
            <v>Horní Slavkov</v>
          </cell>
        </row>
        <row r="1375">
          <cell r="T1375" t="str">
            <v>Horní Slivno</v>
          </cell>
        </row>
        <row r="1376">
          <cell r="T1376" t="str">
            <v>Horní Smrčné</v>
          </cell>
        </row>
        <row r="1377">
          <cell r="T1377" t="str">
            <v>Horní Smržov</v>
          </cell>
        </row>
        <row r="1378">
          <cell r="T1378" t="str">
            <v>Horní Stropnice</v>
          </cell>
        </row>
        <row r="1379">
          <cell r="T1379" t="str">
            <v>Horní Studénky</v>
          </cell>
        </row>
        <row r="1380">
          <cell r="T1380" t="str">
            <v>Horní Suchá</v>
          </cell>
        </row>
        <row r="1381">
          <cell r="T1381" t="str">
            <v>Horní Štěpánov</v>
          </cell>
        </row>
        <row r="1382">
          <cell r="T1382" t="str">
            <v>Horní Těšice</v>
          </cell>
        </row>
        <row r="1383">
          <cell r="T1383" t="str">
            <v>Horní Tošanovice</v>
          </cell>
        </row>
        <row r="1384">
          <cell r="T1384" t="str">
            <v>Horní Třešňovec</v>
          </cell>
        </row>
        <row r="1385">
          <cell r="T1385" t="str">
            <v>Horní Újezd</v>
          </cell>
        </row>
        <row r="1386">
          <cell r="T1386" t="str">
            <v>Horní Újezd</v>
          </cell>
        </row>
        <row r="1387">
          <cell r="T1387" t="str">
            <v>Horní Újezd</v>
          </cell>
        </row>
        <row r="1388">
          <cell r="T1388" t="str">
            <v>Horní Ves</v>
          </cell>
        </row>
        <row r="1389">
          <cell r="T1389" t="str">
            <v>Horní Věstonice</v>
          </cell>
        </row>
        <row r="1390">
          <cell r="T1390" t="str">
            <v>Horní Vilémovice</v>
          </cell>
        </row>
        <row r="1391">
          <cell r="T1391" t="str">
            <v>Horní Vltavice</v>
          </cell>
        </row>
        <row r="1392">
          <cell r="T1392" t="str">
            <v>Horní Životice</v>
          </cell>
        </row>
        <row r="1393">
          <cell r="T1393" t="str">
            <v>Hornice</v>
          </cell>
        </row>
        <row r="1394">
          <cell r="T1394" t="str">
            <v>Hornosín</v>
          </cell>
        </row>
        <row r="1395">
          <cell r="T1395" t="str">
            <v>Horoměřice</v>
          </cell>
        </row>
        <row r="1396">
          <cell r="T1396" t="str">
            <v>Horosedly</v>
          </cell>
        </row>
        <row r="1397">
          <cell r="T1397" t="str">
            <v>Horoušany</v>
          </cell>
        </row>
        <row r="1398">
          <cell r="T1398" t="str">
            <v>Horská Kvilda</v>
          </cell>
        </row>
        <row r="1399">
          <cell r="T1399" t="str">
            <v>Horšice</v>
          </cell>
        </row>
        <row r="1400">
          <cell r="T1400" t="str">
            <v>Horšovský Týn</v>
          </cell>
        </row>
        <row r="1401">
          <cell r="T1401" t="str">
            <v>Horušice</v>
          </cell>
        </row>
        <row r="1402">
          <cell r="T1402" t="str">
            <v>Hory</v>
          </cell>
        </row>
        <row r="1403">
          <cell r="T1403" t="str">
            <v>Hořany</v>
          </cell>
        </row>
        <row r="1404">
          <cell r="T1404" t="str">
            <v>Hořátev</v>
          </cell>
        </row>
        <row r="1405">
          <cell r="T1405" t="str">
            <v>Hořenice</v>
          </cell>
        </row>
        <row r="1406">
          <cell r="T1406" t="str">
            <v>Hořepník</v>
          </cell>
        </row>
        <row r="1407">
          <cell r="T1407" t="str">
            <v>Hořesedly</v>
          </cell>
        </row>
        <row r="1408">
          <cell r="T1408" t="str">
            <v>Hořešovice</v>
          </cell>
        </row>
        <row r="1409">
          <cell r="T1409" t="str">
            <v>Hořešovičky</v>
          </cell>
        </row>
        <row r="1410">
          <cell r="T1410" t="str">
            <v>Hořice</v>
          </cell>
        </row>
        <row r="1411">
          <cell r="T1411" t="str">
            <v>Hořice</v>
          </cell>
        </row>
        <row r="1412">
          <cell r="T1412" t="str">
            <v>Hořice na Šumavě</v>
          </cell>
        </row>
        <row r="1413">
          <cell r="T1413" t="str">
            <v>Hořičky</v>
          </cell>
        </row>
        <row r="1414">
          <cell r="T1414" t="str">
            <v>Hořín</v>
          </cell>
        </row>
        <row r="1415">
          <cell r="T1415" t="str">
            <v>Hořiněves</v>
          </cell>
        </row>
        <row r="1416">
          <cell r="T1416" t="str">
            <v>Hořovice</v>
          </cell>
        </row>
        <row r="1417">
          <cell r="T1417" t="str">
            <v>Hořovičky</v>
          </cell>
        </row>
        <row r="1418">
          <cell r="T1418" t="str">
            <v>Hosín</v>
          </cell>
        </row>
        <row r="1419">
          <cell r="T1419" t="str">
            <v>Hoslovice</v>
          </cell>
        </row>
        <row r="1420">
          <cell r="T1420" t="str">
            <v>Hospozín</v>
          </cell>
        </row>
        <row r="1421">
          <cell r="T1421" t="str">
            <v>Hospříz</v>
          </cell>
        </row>
        <row r="1422">
          <cell r="T1422" t="str">
            <v>Hostašovice</v>
          </cell>
        </row>
        <row r="1423">
          <cell r="T1423" t="str">
            <v>Hostějov</v>
          </cell>
        </row>
        <row r="1424">
          <cell r="T1424" t="str">
            <v>Hostěnice</v>
          </cell>
        </row>
        <row r="1425">
          <cell r="T1425" t="str">
            <v>Hostěradice</v>
          </cell>
        </row>
        <row r="1426">
          <cell r="T1426" t="str">
            <v>Hostěrádky-Rešov</v>
          </cell>
        </row>
        <row r="1427">
          <cell r="T1427" t="str">
            <v>Hostětice</v>
          </cell>
        </row>
        <row r="1428">
          <cell r="T1428" t="str">
            <v>Hostětín</v>
          </cell>
        </row>
        <row r="1429">
          <cell r="T1429" t="str">
            <v>Hostim</v>
          </cell>
        </row>
        <row r="1430">
          <cell r="T1430" t="str">
            <v>Hostín</v>
          </cell>
        </row>
        <row r="1431">
          <cell r="T1431" t="str">
            <v>Hostín u Vojkovic</v>
          </cell>
        </row>
        <row r="1432">
          <cell r="T1432" t="str">
            <v>Hostinné</v>
          </cell>
        </row>
        <row r="1433">
          <cell r="T1433" t="str">
            <v>Hostišová</v>
          </cell>
        </row>
        <row r="1434">
          <cell r="T1434" t="str">
            <v>Hostivice</v>
          </cell>
        </row>
        <row r="1435">
          <cell r="T1435" t="str">
            <v>Hostomice</v>
          </cell>
        </row>
        <row r="1436">
          <cell r="T1436" t="str">
            <v>Hostomice</v>
          </cell>
        </row>
        <row r="1437">
          <cell r="T1437" t="str">
            <v>Hostouň</v>
          </cell>
        </row>
        <row r="1438">
          <cell r="T1438" t="str">
            <v>Hostouň</v>
          </cell>
        </row>
        <row r="1439">
          <cell r="T1439" t="str">
            <v>Hostovlice</v>
          </cell>
        </row>
        <row r="1440">
          <cell r="T1440" t="str">
            <v>Hosty</v>
          </cell>
        </row>
        <row r="1441">
          <cell r="T1441" t="str">
            <v>Hošťálková</v>
          </cell>
        </row>
        <row r="1442">
          <cell r="T1442" t="str">
            <v>Hošťálkovy</v>
          </cell>
        </row>
        <row r="1443">
          <cell r="T1443" t="str">
            <v>Hošťalovice</v>
          </cell>
        </row>
        <row r="1444">
          <cell r="T1444" t="str">
            <v>Hoštejn</v>
          </cell>
        </row>
        <row r="1445">
          <cell r="T1445" t="str">
            <v>Hoštice</v>
          </cell>
        </row>
        <row r="1446">
          <cell r="T1446" t="str">
            <v>Hoštice</v>
          </cell>
        </row>
        <row r="1447">
          <cell r="T1447" t="str">
            <v>Hoštice-Heroltice</v>
          </cell>
        </row>
        <row r="1448">
          <cell r="T1448" t="str">
            <v>Hoštka</v>
          </cell>
        </row>
        <row r="1449">
          <cell r="T1449" t="str">
            <v>Hošťka</v>
          </cell>
        </row>
        <row r="1450">
          <cell r="T1450" t="str">
            <v>Hovězí</v>
          </cell>
        </row>
        <row r="1451">
          <cell r="T1451" t="str">
            <v>Hovorany</v>
          </cell>
        </row>
        <row r="1452">
          <cell r="T1452" t="str">
            <v>Hovorčovice</v>
          </cell>
        </row>
        <row r="1453">
          <cell r="T1453" t="str">
            <v>Hraběšice</v>
          </cell>
        </row>
        <row r="1454">
          <cell r="T1454" t="str">
            <v>Hraběšín</v>
          </cell>
        </row>
        <row r="1455">
          <cell r="T1455" t="str">
            <v>Hrabětice</v>
          </cell>
        </row>
        <row r="1456">
          <cell r="T1456" t="str">
            <v>Hrabišín</v>
          </cell>
        </row>
        <row r="1457">
          <cell r="T1457" t="str">
            <v>Hrabová</v>
          </cell>
        </row>
        <row r="1458">
          <cell r="T1458" t="str">
            <v>Hrabůvka</v>
          </cell>
        </row>
        <row r="1459">
          <cell r="T1459" t="str">
            <v>Hrabyně</v>
          </cell>
        </row>
        <row r="1460">
          <cell r="T1460" t="str">
            <v>Hradce</v>
          </cell>
        </row>
        <row r="1461">
          <cell r="T1461" t="str">
            <v>Hradčany</v>
          </cell>
        </row>
        <row r="1462">
          <cell r="T1462" t="str">
            <v>Hradčany</v>
          </cell>
        </row>
        <row r="1463">
          <cell r="T1463" t="str">
            <v>Hradčany</v>
          </cell>
        </row>
        <row r="1464">
          <cell r="T1464" t="str">
            <v>Hradčany-Kobeřice</v>
          </cell>
        </row>
        <row r="1465">
          <cell r="T1465" t="str">
            <v>Hradčovice</v>
          </cell>
        </row>
        <row r="1466">
          <cell r="T1466" t="str">
            <v>Hradec</v>
          </cell>
        </row>
        <row r="1467">
          <cell r="T1467" t="str">
            <v>Hradec</v>
          </cell>
        </row>
        <row r="1468">
          <cell r="T1468" t="str">
            <v>Hradec Králové</v>
          </cell>
        </row>
        <row r="1469">
          <cell r="T1469" t="str">
            <v>Hradec nad Moravicí</v>
          </cell>
        </row>
        <row r="1470">
          <cell r="T1470" t="str">
            <v>Hradec nad Svitavou</v>
          </cell>
        </row>
        <row r="1471">
          <cell r="T1471" t="str">
            <v>Hradec-Nová Ves</v>
          </cell>
        </row>
        <row r="1472">
          <cell r="T1472" t="str">
            <v>Hradečno</v>
          </cell>
        </row>
        <row r="1473">
          <cell r="T1473" t="str">
            <v>Hrádek</v>
          </cell>
        </row>
        <row r="1474">
          <cell r="T1474" t="str">
            <v>Hrádek</v>
          </cell>
        </row>
        <row r="1475">
          <cell r="T1475" t="str">
            <v>Hrádek</v>
          </cell>
        </row>
        <row r="1476">
          <cell r="T1476" t="str">
            <v>Hrádek</v>
          </cell>
        </row>
        <row r="1477">
          <cell r="T1477" t="str">
            <v>Hrádek</v>
          </cell>
        </row>
        <row r="1478">
          <cell r="T1478" t="str">
            <v>Hrádek</v>
          </cell>
        </row>
        <row r="1479">
          <cell r="T1479" t="str">
            <v>Hrádek nad Nisou</v>
          </cell>
        </row>
        <row r="1480">
          <cell r="T1480" t="str">
            <v>Hradešice</v>
          </cell>
        </row>
        <row r="1481">
          <cell r="T1481" t="str">
            <v>Hradešín</v>
          </cell>
        </row>
        <row r="1482">
          <cell r="T1482" t="str">
            <v>Hradiště</v>
          </cell>
        </row>
        <row r="1483">
          <cell r="T1483" t="str">
            <v>Hradiště</v>
          </cell>
        </row>
        <row r="1484">
          <cell r="T1484" t="str">
            <v>Hradiště</v>
          </cell>
        </row>
        <row r="1485">
          <cell r="T1485" t="str">
            <v>Hradiště</v>
          </cell>
        </row>
        <row r="1486">
          <cell r="T1486" t="str">
            <v>Hradiště</v>
          </cell>
        </row>
        <row r="1487">
          <cell r="T1487" t="str">
            <v>Hradištko</v>
          </cell>
        </row>
        <row r="1488">
          <cell r="T1488" t="str">
            <v>Hradištko</v>
          </cell>
        </row>
        <row r="1489">
          <cell r="T1489" t="str">
            <v>Hracholusky</v>
          </cell>
        </row>
        <row r="1490">
          <cell r="T1490" t="str">
            <v>Hracholusky</v>
          </cell>
        </row>
        <row r="1491">
          <cell r="T1491" t="str">
            <v>Hrachoviště</v>
          </cell>
        </row>
        <row r="1492">
          <cell r="T1492" t="str">
            <v>Hranice</v>
          </cell>
        </row>
        <row r="1493">
          <cell r="T1493" t="str">
            <v>Hranice</v>
          </cell>
        </row>
        <row r="1494">
          <cell r="T1494" t="str">
            <v>Hranice</v>
          </cell>
        </row>
        <row r="1495">
          <cell r="T1495" t="str">
            <v>Hraničné Petrovice</v>
          </cell>
        </row>
        <row r="1496">
          <cell r="T1496" t="str">
            <v>Hrazany</v>
          </cell>
        </row>
        <row r="1497">
          <cell r="T1497" t="str">
            <v>Hrčava</v>
          </cell>
        </row>
        <row r="1498">
          <cell r="T1498" t="str">
            <v>Hrdějovice</v>
          </cell>
        </row>
        <row r="1499">
          <cell r="T1499" t="str">
            <v>Hrdibořice</v>
          </cell>
        </row>
        <row r="1500">
          <cell r="T1500" t="str">
            <v>Hrdlív</v>
          </cell>
        </row>
        <row r="1501">
          <cell r="T1501" t="str">
            <v>Hrdlořezy</v>
          </cell>
        </row>
        <row r="1502">
          <cell r="T1502" t="str">
            <v>Hrejkovice</v>
          </cell>
        </row>
        <row r="1503">
          <cell r="T1503" t="str">
            <v>Hrob</v>
          </cell>
        </row>
        <row r="1504">
          <cell r="T1504" t="str">
            <v>Hrobce</v>
          </cell>
        </row>
        <row r="1505">
          <cell r="T1505" t="str">
            <v>Hrobčice</v>
          </cell>
        </row>
        <row r="1506">
          <cell r="T1506" t="str">
            <v>Hrobice</v>
          </cell>
        </row>
        <row r="1507">
          <cell r="T1507" t="str">
            <v>Hrobice</v>
          </cell>
        </row>
        <row r="1508">
          <cell r="T1508" t="str">
            <v>Hrochův Týnec</v>
          </cell>
        </row>
        <row r="1509">
          <cell r="T1509" t="str">
            <v>Hromnice</v>
          </cell>
        </row>
        <row r="1510">
          <cell r="T1510" t="str">
            <v>Hronov</v>
          </cell>
        </row>
        <row r="1511">
          <cell r="T1511" t="str">
            <v>Hrotovice</v>
          </cell>
        </row>
        <row r="1512">
          <cell r="T1512" t="str">
            <v>Hroubovice</v>
          </cell>
        </row>
        <row r="1513">
          <cell r="T1513" t="str">
            <v>Hroznatín</v>
          </cell>
        </row>
        <row r="1514">
          <cell r="T1514" t="str">
            <v>Hroznětín</v>
          </cell>
        </row>
        <row r="1515">
          <cell r="T1515" t="str">
            <v>Hroznová Lhota</v>
          </cell>
        </row>
        <row r="1516">
          <cell r="T1516" t="str">
            <v>Hrubá Skála</v>
          </cell>
        </row>
        <row r="1517">
          <cell r="T1517" t="str">
            <v>Hrubá Vrbka</v>
          </cell>
        </row>
        <row r="1518">
          <cell r="T1518" t="str">
            <v>Hrubčice</v>
          </cell>
        </row>
        <row r="1519">
          <cell r="T1519" t="str">
            <v>Hrubý Jeseník</v>
          </cell>
        </row>
        <row r="1520">
          <cell r="T1520" t="str">
            <v>Hrusice</v>
          </cell>
        </row>
        <row r="1521">
          <cell r="T1521" t="str">
            <v>Hruška</v>
          </cell>
        </row>
        <row r="1522">
          <cell r="T1522" t="str">
            <v>Hrušky</v>
          </cell>
        </row>
        <row r="1523">
          <cell r="T1523" t="str">
            <v>Hrušky</v>
          </cell>
        </row>
        <row r="1524">
          <cell r="T1524" t="str">
            <v>Hrušov</v>
          </cell>
        </row>
        <row r="1525">
          <cell r="T1525" t="str">
            <v>Hrušová</v>
          </cell>
        </row>
        <row r="1526">
          <cell r="T1526" t="str">
            <v>Hrušovany</v>
          </cell>
        </row>
        <row r="1527">
          <cell r="T1527" t="str">
            <v>Hrušovany nad Jevišovkou</v>
          </cell>
        </row>
        <row r="1528">
          <cell r="T1528" t="str">
            <v>Hrušovany u Brna</v>
          </cell>
        </row>
        <row r="1529">
          <cell r="T1529" t="str">
            <v>Hrutov</v>
          </cell>
        </row>
        <row r="1530">
          <cell r="T1530" t="str">
            <v>Hřebeč</v>
          </cell>
        </row>
        <row r="1531">
          <cell r="T1531" t="str">
            <v>Hřebečníky</v>
          </cell>
        </row>
        <row r="1532">
          <cell r="T1532" t="str">
            <v>Hředle</v>
          </cell>
        </row>
        <row r="1533">
          <cell r="T1533" t="str">
            <v>Hředle</v>
          </cell>
        </row>
        <row r="1534">
          <cell r="T1534" t="str">
            <v>Hřensko</v>
          </cell>
        </row>
        <row r="1535">
          <cell r="T1535" t="str">
            <v>Hřibiny-Ledská</v>
          </cell>
        </row>
        <row r="1536">
          <cell r="T1536" t="str">
            <v>Hřibojedy</v>
          </cell>
        </row>
        <row r="1537">
          <cell r="T1537" t="str">
            <v>Hřiměždice</v>
          </cell>
        </row>
        <row r="1538">
          <cell r="T1538" t="str">
            <v>Hříšice</v>
          </cell>
        </row>
        <row r="1539">
          <cell r="T1539" t="str">
            <v>Hříškov</v>
          </cell>
        </row>
        <row r="1540">
          <cell r="T1540" t="str">
            <v>Hřivice</v>
          </cell>
        </row>
        <row r="1541">
          <cell r="T1541" t="str">
            <v>Hřivínův Újezd</v>
          </cell>
        </row>
        <row r="1542">
          <cell r="T1542" t="str">
            <v>Hubenov</v>
          </cell>
        </row>
        <row r="1543">
          <cell r="T1543" t="str">
            <v>Hudčice</v>
          </cell>
        </row>
        <row r="1544">
          <cell r="T1544" t="str">
            <v>Hudlice</v>
          </cell>
        </row>
        <row r="1545">
          <cell r="T1545" t="str">
            <v>Hukvaldy</v>
          </cell>
        </row>
        <row r="1546">
          <cell r="T1546" t="str">
            <v>Hulice</v>
          </cell>
        </row>
        <row r="1547">
          <cell r="T1547" t="str">
            <v>Hulín</v>
          </cell>
        </row>
        <row r="1548">
          <cell r="T1548" t="str">
            <v>Humburky</v>
          </cell>
        </row>
        <row r="1549">
          <cell r="T1549" t="str">
            <v>Humpolec</v>
          </cell>
        </row>
        <row r="1550">
          <cell r="T1550" t="str">
            <v>Huntířov</v>
          </cell>
        </row>
        <row r="1551">
          <cell r="T1551" t="str">
            <v>Hůrky</v>
          </cell>
        </row>
        <row r="1552">
          <cell r="T1552" t="str">
            <v>Hurtova Lhota</v>
          </cell>
        </row>
        <row r="1553">
          <cell r="T1553" t="str">
            <v>Hůry</v>
          </cell>
        </row>
        <row r="1554">
          <cell r="T1554" t="str">
            <v>Husí Lhota</v>
          </cell>
        </row>
        <row r="1555">
          <cell r="T1555" t="str">
            <v>Husinec</v>
          </cell>
        </row>
        <row r="1556">
          <cell r="T1556" t="str">
            <v>Husinec</v>
          </cell>
        </row>
        <row r="1557">
          <cell r="T1557" t="str">
            <v>Huslenky</v>
          </cell>
        </row>
        <row r="1558">
          <cell r="T1558" t="str">
            <v>Hustopeče</v>
          </cell>
        </row>
        <row r="1559">
          <cell r="T1559" t="str">
            <v>Hustopeče nad Bečvou</v>
          </cell>
        </row>
        <row r="1560">
          <cell r="T1560" t="str">
            <v>Huštěnovice</v>
          </cell>
        </row>
        <row r="1561">
          <cell r="T1561" t="str">
            <v>Hutisko-Solanec</v>
          </cell>
        </row>
        <row r="1562">
          <cell r="T1562" t="str">
            <v>Huzová</v>
          </cell>
        </row>
        <row r="1563">
          <cell r="T1563" t="str">
            <v>Hvězdlice</v>
          </cell>
        </row>
        <row r="1564">
          <cell r="T1564" t="str">
            <v>Hvězdonice</v>
          </cell>
        </row>
        <row r="1565">
          <cell r="T1565" t="str">
            <v>Hvězdoňovice</v>
          </cell>
        </row>
        <row r="1566">
          <cell r="T1566" t="str">
            <v>Hvozd</v>
          </cell>
        </row>
        <row r="1567">
          <cell r="T1567" t="str">
            <v>Hvozd</v>
          </cell>
        </row>
        <row r="1568">
          <cell r="T1568" t="str">
            <v>Hvozd</v>
          </cell>
        </row>
        <row r="1569">
          <cell r="T1569" t="str">
            <v>Hvozdec</v>
          </cell>
        </row>
        <row r="1570">
          <cell r="T1570" t="str">
            <v>Hvozdec</v>
          </cell>
        </row>
        <row r="1571">
          <cell r="T1571" t="str">
            <v>Hvozdec</v>
          </cell>
        </row>
        <row r="1572">
          <cell r="T1572" t="str">
            <v>Hvozdná</v>
          </cell>
        </row>
        <row r="1573">
          <cell r="T1573" t="str">
            <v>Hvozdnice</v>
          </cell>
        </row>
        <row r="1574">
          <cell r="T1574" t="str">
            <v>Hvozdnice</v>
          </cell>
        </row>
        <row r="1575">
          <cell r="T1575" t="str">
            <v>Hvožďany</v>
          </cell>
        </row>
        <row r="1576">
          <cell r="T1576" t="str">
            <v>Hvožďany</v>
          </cell>
        </row>
        <row r="1577">
          <cell r="T1577" t="str">
            <v>Hybrálec</v>
          </cell>
        </row>
        <row r="1578">
          <cell r="T1578" t="str">
            <v>Hynčice</v>
          </cell>
        </row>
        <row r="1579">
          <cell r="T1579" t="str">
            <v>Hynčina</v>
          </cell>
        </row>
        <row r="1580">
          <cell r="T1580" t="str">
            <v>Hýskov</v>
          </cell>
        </row>
        <row r="1581">
          <cell r="T1581" t="str">
            <v>Hýsly</v>
          </cell>
        </row>
        <row r="1582">
          <cell r="T1582" t="str">
            <v>Chabařovice</v>
          </cell>
        </row>
        <row r="1583">
          <cell r="T1583" t="str">
            <v>Chabeřice</v>
          </cell>
        </row>
        <row r="1584">
          <cell r="T1584" t="str">
            <v>Chaloupky</v>
          </cell>
        </row>
        <row r="1585">
          <cell r="T1585" t="str">
            <v>Chanovice</v>
          </cell>
        </row>
        <row r="1586">
          <cell r="T1586" t="str">
            <v>Charvatce</v>
          </cell>
        </row>
        <row r="1587">
          <cell r="T1587" t="str">
            <v>Charváty</v>
          </cell>
        </row>
        <row r="1588">
          <cell r="T1588" t="str">
            <v>Chářovice</v>
          </cell>
        </row>
        <row r="1589">
          <cell r="T1589" t="str">
            <v>Chbany</v>
          </cell>
        </row>
        <row r="1590">
          <cell r="T1590" t="str">
            <v>Cheb</v>
          </cell>
        </row>
        <row r="1591">
          <cell r="T1591" t="str">
            <v>Chelčice</v>
          </cell>
        </row>
        <row r="1592">
          <cell r="T1592" t="str">
            <v>Cheznovice</v>
          </cell>
        </row>
        <row r="1593">
          <cell r="T1593" t="str">
            <v>Chlebičov</v>
          </cell>
        </row>
        <row r="1594">
          <cell r="T1594" t="str">
            <v>Chleby</v>
          </cell>
        </row>
        <row r="1595">
          <cell r="T1595" t="str">
            <v>Chleby</v>
          </cell>
        </row>
        <row r="1596">
          <cell r="T1596" t="str">
            <v>Chleny</v>
          </cell>
        </row>
        <row r="1597">
          <cell r="T1597" t="str">
            <v>Chlistov</v>
          </cell>
        </row>
        <row r="1598">
          <cell r="T1598" t="str">
            <v>Chlístov</v>
          </cell>
        </row>
        <row r="1599">
          <cell r="T1599" t="str">
            <v>Chlístov</v>
          </cell>
        </row>
        <row r="1600">
          <cell r="T1600" t="str">
            <v>Chlístov</v>
          </cell>
        </row>
        <row r="1601">
          <cell r="T1601" t="str">
            <v>Chlístovice</v>
          </cell>
        </row>
        <row r="1602">
          <cell r="T1602" t="str">
            <v>Chlum</v>
          </cell>
        </row>
        <row r="1603">
          <cell r="T1603" t="str">
            <v>Chlum</v>
          </cell>
        </row>
        <row r="1604">
          <cell r="T1604" t="str">
            <v>Chlum</v>
          </cell>
        </row>
        <row r="1605">
          <cell r="T1605" t="str">
            <v>Chlum</v>
          </cell>
        </row>
        <row r="1606">
          <cell r="T1606" t="str">
            <v>Chlum</v>
          </cell>
        </row>
        <row r="1607">
          <cell r="T1607" t="str">
            <v>Chlum</v>
          </cell>
        </row>
        <row r="1608">
          <cell r="T1608" t="str">
            <v>Chlum Svaté Maří</v>
          </cell>
        </row>
        <row r="1609">
          <cell r="T1609" t="str">
            <v>Chlum u Třeboně</v>
          </cell>
        </row>
        <row r="1610">
          <cell r="T1610" t="str">
            <v>Chlumany</v>
          </cell>
        </row>
        <row r="1611">
          <cell r="T1611" t="str">
            <v>Chlumčany</v>
          </cell>
        </row>
        <row r="1612">
          <cell r="T1612" t="str">
            <v>Chlumčany</v>
          </cell>
        </row>
        <row r="1613">
          <cell r="T1613" t="str">
            <v>Chlumec</v>
          </cell>
        </row>
        <row r="1614">
          <cell r="T1614" t="str">
            <v>Chlumec</v>
          </cell>
        </row>
        <row r="1615">
          <cell r="T1615" t="str">
            <v>Chlumec nad Cidlinou</v>
          </cell>
        </row>
        <row r="1616">
          <cell r="T1616" t="str">
            <v>Chlumek</v>
          </cell>
        </row>
        <row r="1617">
          <cell r="T1617" t="str">
            <v>Chlumětín</v>
          </cell>
        </row>
        <row r="1618">
          <cell r="T1618" t="str">
            <v>Chlumín</v>
          </cell>
        </row>
        <row r="1619">
          <cell r="T1619" t="str">
            <v>Chlum-Korouhvice</v>
          </cell>
        </row>
        <row r="1620">
          <cell r="T1620" t="str">
            <v>Chlumy</v>
          </cell>
        </row>
        <row r="1621">
          <cell r="T1621" t="str">
            <v>Chlustina</v>
          </cell>
        </row>
        <row r="1622">
          <cell r="T1622" t="str">
            <v>Chmelík</v>
          </cell>
        </row>
        <row r="1623">
          <cell r="T1623" t="str">
            <v>Chmelná</v>
          </cell>
        </row>
        <row r="1624">
          <cell r="T1624" t="str">
            <v>Chobot</v>
          </cell>
        </row>
        <row r="1625">
          <cell r="T1625" t="str">
            <v>Choceň</v>
          </cell>
        </row>
        <row r="1626">
          <cell r="T1626" t="str">
            <v>Chocenice</v>
          </cell>
        </row>
        <row r="1627">
          <cell r="T1627" t="str">
            <v>Chocerady</v>
          </cell>
        </row>
        <row r="1628">
          <cell r="T1628" t="str">
            <v>Chocnějovice</v>
          </cell>
        </row>
        <row r="1629">
          <cell r="T1629" t="str">
            <v>Chocomyšl</v>
          </cell>
        </row>
        <row r="1630">
          <cell r="T1630" t="str">
            <v>Chodouň</v>
          </cell>
        </row>
        <row r="1631">
          <cell r="T1631" t="str">
            <v>Chodouny</v>
          </cell>
        </row>
        <row r="1632">
          <cell r="T1632" t="str">
            <v>Chodov</v>
          </cell>
        </row>
        <row r="1633">
          <cell r="T1633" t="str">
            <v>Chodov</v>
          </cell>
        </row>
        <row r="1634">
          <cell r="T1634" t="str">
            <v>Chodov</v>
          </cell>
        </row>
        <row r="1635">
          <cell r="T1635" t="str">
            <v>Chodová Planá</v>
          </cell>
        </row>
        <row r="1636">
          <cell r="T1636" t="str">
            <v>Chodovlice</v>
          </cell>
        </row>
        <row r="1637">
          <cell r="T1637" t="str">
            <v>Chodská Lhota</v>
          </cell>
        </row>
        <row r="1638">
          <cell r="T1638" t="str">
            <v>Chodský Újezd</v>
          </cell>
        </row>
        <row r="1639">
          <cell r="T1639" t="str">
            <v>Cholenice</v>
          </cell>
        </row>
        <row r="1640">
          <cell r="T1640" t="str">
            <v>Cholina</v>
          </cell>
        </row>
        <row r="1641">
          <cell r="T1641" t="str">
            <v>Choltice</v>
          </cell>
        </row>
        <row r="1642">
          <cell r="T1642" t="str">
            <v>Chomle</v>
          </cell>
        </row>
        <row r="1643">
          <cell r="T1643" t="str">
            <v>Chomutice</v>
          </cell>
        </row>
        <row r="1644">
          <cell r="T1644" t="str">
            <v>Chomutov</v>
          </cell>
        </row>
        <row r="1645">
          <cell r="T1645" t="str">
            <v>Chomýž</v>
          </cell>
        </row>
        <row r="1646">
          <cell r="T1646" t="str">
            <v>Choratice</v>
          </cell>
        </row>
        <row r="1647">
          <cell r="T1647" t="str">
            <v>Chornice</v>
          </cell>
        </row>
        <row r="1648">
          <cell r="T1648" t="str">
            <v>Chorušice</v>
          </cell>
        </row>
        <row r="1649">
          <cell r="T1649" t="str">
            <v>Choryně</v>
          </cell>
        </row>
        <row r="1650">
          <cell r="T1650" t="str">
            <v>Choťánky</v>
          </cell>
        </row>
        <row r="1651">
          <cell r="T1651" t="str">
            <v>Chotěboř</v>
          </cell>
        </row>
        <row r="1652">
          <cell r="T1652" t="str">
            <v>Chotěbudice</v>
          </cell>
        </row>
        <row r="1653">
          <cell r="T1653" t="str">
            <v>Chotěbuz</v>
          </cell>
        </row>
        <row r="1654">
          <cell r="T1654" t="str">
            <v>Choteč</v>
          </cell>
        </row>
        <row r="1655">
          <cell r="T1655" t="str">
            <v>Choteč</v>
          </cell>
        </row>
        <row r="1656">
          <cell r="T1656" t="str">
            <v>Choteč</v>
          </cell>
        </row>
        <row r="1657">
          <cell r="T1657" t="str">
            <v>Chotěmice</v>
          </cell>
        </row>
        <row r="1658">
          <cell r="T1658" t="str">
            <v>Chotěnov</v>
          </cell>
        </row>
        <row r="1659">
          <cell r="T1659" t="str">
            <v>Chotěšice</v>
          </cell>
        </row>
        <row r="1660">
          <cell r="T1660" t="str">
            <v>Chotěšov</v>
          </cell>
        </row>
        <row r="1661">
          <cell r="T1661" t="str">
            <v>Chotěšov</v>
          </cell>
        </row>
        <row r="1662">
          <cell r="T1662" t="str">
            <v>Chotětov</v>
          </cell>
        </row>
        <row r="1663">
          <cell r="T1663" t="str">
            <v>Chotěvice</v>
          </cell>
        </row>
        <row r="1664">
          <cell r="T1664" t="str">
            <v>Chotíkov</v>
          </cell>
        </row>
        <row r="1665">
          <cell r="T1665" t="str">
            <v>Chotilsko</v>
          </cell>
        </row>
        <row r="1666">
          <cell r="T1666" t="str">
            <v>Chotiměř</v>
          </cell>
        </row>
        <row r="1667">
          <cell r="T1667" t="str">
            <v>Chotiněves</v>
          </cell>
        </row>
        <row r="1668">
          <cell r="T1668" t="str">
            <v>Chotovice</v>
          </cell>
        </row>
        <row r="1669">
          <cell r="T1669" t="str">
            <v>Chotovice</v>
          </cell>
        </row>
        <row r="1670">
          <cell r="T1670" t="str">
            <v>Choťovice</v>
          </cell>
        </row>
        <row r="1671">
          <cell r="T1671" t="str">
            <v>Chotoviny</v>
          </cell>
        </row>
        <row r="1672">
          <cell r="T1672" t="str">
            <v>Chotusice</v>
          </cell>
        </row>
        <row r="1673">
          <cell r="T1673" t="str">
            <v>Chotutice</v>
          </cell>
        </row>
        <row r="1674">
          <cell r="T1674" t="str">
            <v>Chotýčany</v>
          </cell>
        </row>
        <row r="1675">
          <cell r="T1675" t="str">
            <v>Chotyně</v>
          </cell>
        </row>
        <row r="1676">
          <cell r="T1676" t="str">
            <v>Chotýšany</v>
          </cell>
        </row>
        <row r="1677">
          <cell r="T1677" t="str">
            <v>Choustník</v>
          </cell>
        </row>
        <row r="1678">
          <cell r="T1678" t="str">
            <v>Choustníkovo Hradiště</v>
          </cell>
        </row>
        <row r="1679">
          <cell r="T1679" t="str">
            <v>Chožov</v>
          </cell>
        </row>
        <row r="1680">
          <cell r="T1680" t="str">
            <v>Chraberce</v>
          </cell>
        </row>
        <row r="1681">
          <cell r="T1681" t="str">
            <v>Chrast</v>
          </cell>
        </row>
        <row r="1682">
          <cell r="T1682" t="str">
            <v>Chrást</v>
          </cell>
        </row>
        <row r="1683">
          <cell r="T1683" t="str">
            <v>Chrást</v>
          </cell>
        </row>
        <row r="1684">
          <cell r="T1684" t="str">
            <v>Chrást</v>
          </cell>
        </row>
        <row r="1685">
          <cell r="T1685" t="str">
            <v>Chrastava</v>
          </cell>
        </row>
        <row r="1686">
          <cell r="T1686" t="str">
            <v>Chrastavec</v>
          </cell>
        </row>
        <row r="1687">
          <cell r="T1687" t="str">
            <v>Chrastavice</v>
          </cell>
        </row>
        <row r="1688">
          <cell r="T1688" t="str">
            <v>Chrášťany</v>
          </cell>
        </row>
        <row r="1689">
          <cell r="T1689" t="str">
            <v>Chrášťany</v>
          </cell>
        </row>
        <row r="1690">
          <cell r="T1690" t="str">
            <v>Chrášťany</v>
          </cell>
        </row>
        <row r="1691">
          <cell r="T1691" t="str">
            <v>Chrášťany</v>
          </cell>
        </row>
        <row r="1692">
          <cell r="T1692" t="str">
            <v>Chrášťany</v>
          </cell>
        </row>
        <row r="1693">
          <cell r="T1693" t="str">
            <v>Chraštice</v>
          </cell>
        </row>
        <row r="1694">
          <cell r="T1694" t="str">
            <v>Chrášťovice</v>
          </cell>
        </row>
        <row r="1695">
          <cell r="T1695" t="str">
            <v>Chrbonín</v>
          </cell>
        </row>
        <row r="1696">
          <cell r="T1696" t="str">
            <v>Chroboly</v>
          </cell>
        </row>
        <row r="1697">
          <cell r="T1697" t="str">
            <v>Chromeč</v>
          </cell>
        </row>
        <row r="1698">
          <cell r="T1698" t="str">
            <v>Chropyně</v>
          </cell>
        </row>
        <row r="1699"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00000000}" name="Tabulka170" displayName="Tabulka170" ref="R1:AA5" tableType="xml" totalsRowShown="0" headerRowDxfId="89">
  <autoFilter ref="R1:AA5" xr:uid="{00000000-0009-0000-0100-0000AA000000}"/>
  <tableColumns count="10">
    <tableColumn id="1" xr3:uid="{00000000-0010-0000-0000-000001000000}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xr3:uid="{00000000-0010-0000-0000-000002000000}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xr3:uid="{00000000-0010-0000-0000-000003000000}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xr3:uid="{00000000-0010-0000-0000-000004000000}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xr3:uid="{00000000-0010-0000-0000-000005000000}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xr3:uid="{00000000-0010-0000-0000-000006000000}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xr3:uid="{00000000-0010-0000-0000-000007000000}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xr3:uid="{00000000-0010-0000-0000-000008000000}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xr3:uid="{00000000-0010-0000-0000-000009000000}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xr3:uid="{00000000-0010-0000-0000-00000A000000}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09000000}" name="Tabulka270" displayName="Tabulka270" ref="R110:T111" tableType="xml" insertRow="1" totalsRowShown="0" headerRowDxfId="43">
  <autoFilter ref="R110:T111" xr:uid="{00000000-0009-0000-0100-00000E010000}"/>
  <tableColumns count="3">
    <tableColumn id="1" xr3:uid="{00000000-0010-0000-0900-000001000000}" uniqueName="kod_sekce" name="kod_sekce">
      <xmlColumnPr mapId="7" xpath="/Pisemnost/DPFDP6/VetaR/@kod_sekce" xmlDataType="string"/>
    </tableColumn>
    <tableColumn id="2" xr3:uid="{00000000-0010-0000-0900-000002000000}" uniqueName="poradi" name="poradi">
      <xmlColumnPr mapId="7" xpath="/Pisemnost/DPFDP6/VetaR/@poradi" xmlDataType="decimal"/>
    </tableColumn>
    <tableColumn id="3" xr3:uid="{00000000-0010-0000-0900-000003000000}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0A000000}" name="Tabulka272" displayName="Tabulka272" ref="R120:AB121" tableType="xml" totalsRowShown="0" headerRowDxfId="42">
  <autoFilter ref="R120:AB121" xr:uid="{00000000-0009-0000-0100-000010010000}"/>
  <tableColumns count="11">
    <tableColumn id="1" xr3:uid="{00000000-0010-0000-0A00-000001000000}" uniqueName="da_uznzap" name="da_uznzap">
      <calculatedColumnFormula>'3Př_a'!F17</calculatedColumnFormula>
      <xmlColumnPr mapId="7" xpath="/Pisemnost/DPFDP6/VetaL/@da_uznzap" xmlDataType="decimal"/>
    </tableColumn>
    <tableColumn id="2" xr3:uid="{00000000-0010-0000-0A00-000002000000}" uniqueName="da_zahr" name="da_zahr">
      <calculatedColumnFormula>'3Př_a'!F14</calculatedColumnFormula>
      <xmlColumnPr mapId="7" xpath="/Pisemnost/DPFDP6/VetaL/@da_zahr" xmlDataType="decimal"/>
    </tableColumn>
    <tableColumn id="3" xr3:uid="{00000000-0010-0000-0A00-000003000000}" uniqueName="kc_10prij" name="kc_10prij">
      <calculatedColumnFormula>'3Př_a'!F12</calculatedColumnFormula>
      <xmlColumnPr mapId="7" xpath="/Pisemnost/DPFDP6/VetaL/@kc_10prij" xmlDataType="decimal"/>
    </tableColumn>
    <tableColumn id="4" xr3:uid="{00000000-0010-0000-0A00-000004000000}" uniqueName="kc_10vyd" name="kc_10vyd">
      <calculatedColumnFormula>'3Př_a'!F13</calculatedColumnFormula>
      <xmlColumnPr mapId="7" xpath="/Pisemnost/DPFDP6/VetaL/@kc_10vyd" xmlDataType="decimal"/>
    </tableColumn>
    <tableColumn id="5" xr3:uid="{00000000-0010-0000-0A00-000005000000}" uniqueName="kc_k_zapzahr" name="kc_k_zapzahr">
      <calculatedColumnFormula>'3Př_a'!F16</calculatedColumnFormula>
      <xmlColumnPr mapId="7" xpath="/Pisemnost/DPFDP6/VetaL/@kc_k_zapzahr" xmlDataType="decimal"/>
    </tableColumn>
    <tableColumn id="6" xr3:uid="{00000000-0010-0000-0A00-000006000000}" uniqueName="kc_prijzap" name="kc_prijzap">
      <calculatedColumnFormula>'3Př_a'!F12</calculatedColumnFormula>
      <xmlColumnPr mapId="7" xpath="/Pisemnost/DPFDP6/VetaL/@kc_prijzap" xmlDataType="decimal"/>
    </tableColumn>
    <tableColumn id="7" xr3:uid="{00000000-0010-0000-0A00-000007000000}" uniqueName="kc_vydzap" name="kc_vydzap">
      <calculatedColumnFormula>'3Př_a'!F13</calculatedColumnFormula>
      <xmlColumnPr mapId="7" xpath="/Pisemnost/DPFDP6/VetaL/@kc_vydzap" xmlDataType="decimal"/>
    </tableColumn>
    <tableColumn id="8" xr3:uid="{00000000-0010-0000-0A00-000008000000}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xr3:uid="{00000000-0010-0000-0A00-000009000000}" uniqueName="proczahr" name="proczahr" dataDxfId="40">
      <calculatedColumnFormula>'3Př_a'!F15*100</calculatedColumnFormula>
      <xmlColumnPr mapId="7" xpath="/Pisemnost/DPFDP6/VetaL/@proczahr" xmlDataType="decimal"/>
    </tableColumn>
    <tableColumn id="10" xr3:uid="{00000000-0010-0000-0A00-00000A000000}" uniqueName="roz_od12" name="roz_od12">
      <calculatedColumnFormula>'3Př_a'!F18</calculatedColumnFormula>
      <xmlColumnPr mapId="7" xpath="/Pisemnost/DPFDP6/VetaL/@roz_od12" xmlDataType="decimal"/>
    </tableColumn>
    <tableColumn id="11" xr3:uid="{B0EDCFB3-089F-437A-9C3D-51830B73288B}" uniqueName="kc_10dan" name="kc_10dan">
      <calculatedColumnFormula>'3Př_a'!F14</calculatedColumnFormula>
      <xmlColumnPr mapId="7" xpath="/Pisemnost/DPFDP6/VetaL/@kc_10dan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0B000000}" name="Tabulka273" displayName="Tabulka273" ref="R130:V138" tableType="xml" totalsRowShown="0" headerRowDxfId="39">
  <autoFilter ref="R130:V138" xr:uid="{00000000-0009-0000-0100-000011010000}"/>
  <tableColumns count="5">
    <tableColumn id="1" xr3:uid="{00000000-0010-0000-0B00-000001000000}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xr3:uid="{00000000-0010-0000-0B00-000002000000}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xr3:uid="{00000000-0010-0000-0B00-000003000000}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xr3:uid="{00000000-0010-0000-0B00-000004000000}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xr3:uid="{00000000-0010-0000-0B00-000005000000}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0C000000}" name="Tabulka307" displayName="Tabulka307" ref="R143:W144" tableType="xml" insertRow="1" totalsRowShown="0" headerRowDxfId="33">
  <autoFilter ref="R143:W144" xr:uid="{00000000-0009-0000-0100-000033010000}"/>
  <tableColumns count="6">
    <tableColumn id="1" xr3:uid="{00000000-0010-0000-0C00-000001000000}" uniqueName="kc_prij6p" name="kc_poj6p"/>
    <tableColumn id="2" xr3:uid="{00000000-0010-0000-0C00-000002000000}" uniqueName="kc_prij6p" name="kc_prij6p">
      <xmlColumnPr mapId="7" xpath="/Pisemnost/DPFDP6/Vetab/@kc_prij6p" xmlDataType="decimal"/>
    </tableColumn>
    <tableColumn id="3" xr3:uid="{00000000-0010-0000-0C00-000003000000}" uniqueName="kc_srazp" name="kc_srazp">
      <xmlColumnPr mapId="7" xpath="/Pisemnost/DPFDP6/Vetab/@kc_srazp" xmlDataType="decimal"/>
    </tableColumn>
    <tableColumn id="4" xr3:uid="{00000000-0010-0000-0C00-000004000000}" uniqueName="kc_vyplbonusp" name="kc_vyplbonusp">
      <xmlColumnPr mapId="7" xpath="/Pisemnost/DPFDP6/Vetab/@kc_vyplbonusp" xmlDataType="decimal"/>
    </tableColumn>
    <tableColumn id="5" xr3:uid="{00000000-0010-0000-0C00-000005000000}" uniqueName="kc_zalzavcp" name="kc_zalzavcp">
      <xmlColumnPr mapId="7" xpath="/Pisemnost/DPFDP6/Vetab/@kc_zalzavcp" xmlDataType="decimal"/>
    </tableColumn>
    <tableColumn id="6" xr3:uid="{00000000-0010-0000-0C00-000006000000}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0D000000}" name="Tabulka308" displayName="Tabulka308" ref="R153:V169" tableType="xml" totalsRowShown="0" headerRowDxfId="32">
  <autoFilter ref="R153:V169" xr:uid="{00000000-0009-0000-0100-000034010000}"/>
  <tableColumns count="5">
    <tableColumn id="1" xr3:uid="{00000000-0010-0000-0D00-000001000000}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xr3:uid="{00000000-0010-0000-0D00-000002000000}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xr3:uid="{00000000-0010-0000-0D00-000003000000}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xr3:uid="{00000000-0010-0000-0D00-000004000000}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xr3:uid="{00000000-0010-0000-0D00-000005000000}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0E000000}" name="Tabulka309" displayName="Tabulka309" ref="R177:W258" tableType="xml" totalsRowShown="0" headerRowDxfId="26">
  <autoFilter ref="R177:W258" xr:uid="{00000000-0009-0000-0100-000035010000}"/>
  <tableColumns count="6">
    <tableColumn id="1" xr3:uid="{00000000-0010-0000-0E00-000001000000}" uniqueName="c_listu" name="c_listu" dataDxfId="25">
      <calculatedColumnFormula>$Q$178</calculatedColumnFormula>
      <xmlColumnPr mapId="7" xpath="/Pisemnost/DPFDP6/VetaUA/@c_listu" xmlDataType="decimal"/>
    </tableColumn>
    <tableColumn id="2" xr3:uid="{00000000-0010-0000-0E00-000002000000}" uniqueName="c_radku" name="c_radku" dataDxfId="24">
      <calculatedColumnFormula>IF($B$38="P",Y178,IF($B$38="Z",IF(Z178&lt;&gt;"",Z178,""),IF($B$38="M",IF(AA178&lt;&gt;"",AA178,""),Y178)))</calculatedColumnFormula>
      <xmlColumnPr mapId="7" xpath="/Pisemnost/DPFDP6/VetaUA/@c_radku" xmlDataType="decimal"/>
    </tableColumn>
    <tableColumn id="3" xr3:uid="{00000000-0010-0000-0E00-000003000000}" uniqueName="kc_brutto" name="kc_brutto" dataDxfId="23">
      <calculatedColumnFormula>IF(Účetní_závěrka!D12&lt;&gt;"",Účetní_závěrka!D12,"")</calculatedColumnFormula>
      <xmlColumnPr mapId="7" xpath="/Pisemnost/DPFDP6/VetaUA/@kc_brutto" xmlDataType="decimal"/>
    </tableColumn>
    <tableColumn id="4" xr3:uid="{00000000-0010-0000-0E00-000004000000}" uniqueName="kc_korekce" name="kc_korekce" dataDxfId="22">
      <calculatedColumnFormula>IF(Účetní_závěrka!E12&lt;&gt;"",ABS(Účetní_závěrka!E12),"")</calculatedColumnFormula>
      <xmlColumnPr mapId="7" xpath="/Pisemnost/DPFDP6/VetaUA/@kc_korekce" xmlDataType="decimal"/>
    </tableColumn>
    <tableColumn id="5" xr3:uid="{00000000-0010-0000-0E00-000005000000}" uniqueName="kc_netto" name="kc_netto" dataDxfId="21">
      <calculatedColumnFormula>IF(Účetní_závěrka!F12&lt;&gt;"",Účetní_závěrka!F12,"")</calculatedColumnFormula>
      <xmlColumnPr mapId="7" xpath="/Pisemnost/DPFDP6/VetaUA/@kc_netto" xmlDataType="decimal"/>
    </tableColumn>
    <tableColumn id="6" xr3:uid="{00000000-0010-0000-0E00-000006000000}" uniqueName="kc_netto_min" name="kc_netto_min" dataDxfId="20">
      <calculatedColumnFormula>IF(Účetní_závěrka!G12&lt;&gt;"",Účetní_závěrka!G12,"")</calculatedColumnFormula>
      <xmlColumnPr mapId="7" xpath="/Pisemnost/DPFDP6/VetaUA/@kc_netto_min" xmlDataType="decimal"/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0F000000}" name="Tabulka310" displayName="Tabulka310" ref="AB177:AE233" tableType="xml" totalsRowShown="0" headerRowDxfId="19">
  <autoFilter ref="AB177:AE233" xr:uid="{00000000-0009-0000-0100-000036010000}"/>
  <tableColumns count="4">
    <tableColumn id="1" xr3:uid="{00000000-0010-0000-0F00-000001000000}" uniqueName="c_listu" name="c_listu" dataDxfId="18">
      <calculatedColumnFormula>$AB$176</calculatedColumnFormula>
      <xmlColumnPr mapId="7" xpath="/Pisemnost/DPFDP6/VetaUB/@c_listu" xmlDataType="decimal"/>
    </tableColumn>
    <tableColumn id="2" xr3:uid="{00000000-0010-0000-0F00-000002000000}" uniqueName="c_radku" name="c_radku" dataDxfId="17">
      <calculatedColumnFormula>IF($B$38="P",AG178,IF(AH178&lt;&gt;"",AH178,""))</calculatedColumnFormula>
      <xmlColumnPr mapId="7" xpath="/Pisemnost/DPFDP6/VetaUB/@c_radku" xmlDataType="decimal"/>
    </tableColumn>
    <tableColumn id="3" xr3:uid="{00000000-0010-0000-0F00-000003000000}" uniqueName="kc_min" name="kc_min" dataDxfId="16">
      <calculatedColumnFormula>IF(Účetní_závěrka!E96&lt;&gt;"",Účetní_závěrka!E96,"")</calculatedColumnFormula>
      <xmlColumnPr mapId="7" xpath="/Pisemnost/DPFDP6/VetaUB/@kc_min" xmlDataType="decimal"/>
    </tableColumn>
    <tableColumn id="4" xr3:uid="{00000000-0010-0000-0F00-000004000000}" uniqueName="kc_sled" name="kc_sled" dataDxfId="15">
      <calculatedColumnFormula>IF(Účetní_závěrka!D96&lt;&gt;"",Účetní_závěrka!D96,"")</calculatedColumnFormula>
      <xmlColumnPr mapId="7" xpath="/Pisemnost/DPFDP6/VetaUB/@kc_sled" xmlDataType="decimal"/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10000000}" name="Tabulka311" displayName="Tabulka311" ref="AJ177:AM178" insertRow="1" totalsRowShown="0" headerRowDxfId="14">
  <autoFilter ref="AJ177:AM178" xr:uid="{00000000-0009-0000-0100-000037010000}"/>
  <tableColumns count="4">
    <tableColumn id="1" xr3:uid="{00000000-0010-0000-1000-000001000000}" name="c_listu"/>
    <tableColumn id="2" xr3:uid="{00000000-0010-0000-1000-000002000000}" name="c_radku"/>
    <tableColumn id="3" xr3:uid="{00000000-0010-0000-1000-000003000000}" name="kc_min"/>
    <tableColumn id="4" xr3:uid="{00000000-0010-0000-1000-000004000000}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11000000}" name="Tabulka312" displayName="Tabulka312" ref="AQ177:AT245" tableType="xml" totalsRowShown="0" headerRowDxfId="13">
  <autoFilter ref="AQ177:AT245" xr:uid="{00000000-0009-0000-0100-000038010000}"/>
  <tableColumns count="4">
    <tableColumn id="1" xr3:uid="{00000000-0010-0000-1100-000001000000}" uniqueName="c_listu" name="c_listu" dataDxfId="12">
      <calculatedColumnFormula>$AP$178</calculatedColumnFormula>
      <xmlColumnPr mapId="7" xpath="/Pisemnost/DPFDP6/VetaUD/@c_listu" xmlDataType="decimal"/>
    </tableColumn>
    <tableColumn id="2" xr3:uid="{00000000-0010-0000-1100-000002000000}" uniqueName="c_radku" name="c_radku" dataDxfId="11">
      <calculatedColumnFormula>IF($B$38="P",AV178,IF($B$38="Z",IF(AW178&lt;&gt;"",AW178,""),IF($B$38="M",IF(AX178&lt;&gt;"",AX178,""),AV178)))</calculatedColumnFormula>
      <xmlColumnPr mapId="7" xpath="/Pisemnost/DPFDP6/VetaUD/@c_radku" xmlDataType="decimal"/>
    </tableColumn>
    <tableColumn id="3" xr3:uid="{00000000-0010-0000-1100-000003000000}" uniqueName="kc_min" name="kc_min" dataDxfId="10">
      <calculatedColumnFormula>IF(Účetní_závěrka!L12&lt;&gt;"",Účetní_závěrka!L12,"")</calculatedColumnFormula>
      <xmlColumnPr mapId="7" xpath="/Pisemnost/DPFDP6/VetaUD/@kc_min" xmlDataType="decimal"/>
    </tableColumn>
    <tableColumn id="4" xr3:uid="{00000000-0010-0000-1100-000004000000}" uniqueName="kc_sled" name="kc_sled" dataDxfId="9">
      <calculatedColumnFormula>IF(Účetní_závěrka!K12&lt;&gt;"",Účetní_závěrka!K12,"")</calculatedColumnFormula>
      <xmlColumnPr mapId="7" xpath="/Pisemnost/DPFDP6/VetaUD/@kc_sled" xmlDataType="decimal"/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12000000}" name="Tabulka313" displayName="Tabulka313" ref="AZ177:BC178" insertRow="1" totalsRowShown="0" headerRowDxfId="8">
  <autoFilter ref="AZ177:BC178" xr:uid="{00000000-0009-0000-0100-000039010000}"/>
  <tableColumns count="4">
    <tableColumn id="1" xr3:uid="{00000000-0010-0000-1200-000001000000}" name="c_listu"/>
    <tableColumn id="2" xr3:uid="{00000000-0010-0000-1200-000002000000}" name="c_radku"/>
    <tableColumn id="3" xr3:uid="{00000000-0010-0000-1200-000003000000}" name="kc_min"/>
    <tableColumn id="4" xr3:uid="{00000000-0010-0000-1200-000004000000}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01000000}" name="Tabulka220" displayName="Tabulka220" ref="R20:U23" tableType="xml" totalsRowShown="0" headerRowDxfId="78">
  <autoFilter ref="R20:U23" xr:uid="{00000000-0009-0000-0100-0000DC000000}"/>
  <tableColumns count="4">
    <tableColumn id="1" xr3:uid="{00000000-0010-0000-0100-000001000000}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xr3:uid="{00000000-0010-0000-0100-000002000000}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xr3:uid="{00000000-0010-0000-0100-000003000000}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xr3:uid="{00000000-0010-0000-0100-000004000000}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13000000}" name="Tabulka314" displayName="Tabulka314" ref="R271:X272" insertRow="1" totalsRowShown="0" headerRowDxfId="7">
  <autoFilter ref="R271:X272" xr:uid="{00000000-0009-0000-0100-00003A010000}"/>
  <tableColumns count="7">
    <tableColumn id="1" xr3:uid="{00000000-0010-0000-1300-000001000000}" name="c_listu"/>
    <tableColumn id="2" xr3:uid="{00000000-0010-0000-1300-000002000000}" name="c_radku"/>
    <tableColumn id="3" xr3:uid="{00000000-0010-0000-1300-000003000000}" name="kc_brutto"/>
    <tableColumn id="4" xr3:uid="{00000000-0010-0000-1300-000004000000}" name="kc_korekce"/>
    <tableColumn id="5" xr3:uid="{00000000-0010-0000-1300-000005000000}" name="kc_netto"/>
    <tableColumn id="6" xr3:uid="{00000000-0010-0000-1300-000006000000}" name="kc_netto_min"/>
    <tableColumn id="7" xr3:uid="{00000000-0010-0000-1300-000007000000}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14000000}" name="Tabulka315" displayName="Tabulka315" ref="R281:V282" insertRow="1" totalsRowShown="0" headerRowDxfId="6">
  <autoFilter ref="R281:V282" xr:uid="{00000000-0009-0000-0100-00003B010000}"/>
  <tableColumns count="5">
    <tableColumn id="1" xr3:uid="{00000000-0010-0000-1400-000001000000}" name="c_listu"/>
    <tableColumn id="2" xr3:uid="{00000000-0010-0000-1400-000002000000}" name="c_radku"/>
    <tableColumn id="3" xr3:uid="{00000000-0010-0000-1400-000003000000}" name="kc_min"/>
    <tableColumn id="4" xr3:uid="{00000000-0010-0000-1400-000004000000}" name="kc_sled"/>
    <tableColumn id="5" xr3:uid="{00000000-0010-0000-1400-000005000000}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15000000}" name="Tabulka316" displayName="Tabulka316" ref="R291:U292" tableType="xml" totalsRowShown="0" headerRowDxfId="5">
  <autoFilter ref="R291:U292" xr:uid="{00000000-0009-0000-0100-00003C010000}"/>
  <tableColumns count="4">
    <tableColumn id="1" xr3:uid="{00000000-0010-0000-1500-000001000000}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xr3:uid="{00000000-0010-0000-1500-000002000000}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xr3:uid="{00000000-0010-0000-1500-000003000000}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xr3:uid="{00000000-0010-0000-1500-000004000000}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16000000}" name="Tabulka317" displayName="Tabulka317" ref="R301:U302" insertRow="1" totalsRowShown="0" headerRowDxfId="0">
  <autoFilter ref="R301:U302" xr:uid="{00000000-0009-0000-0100-00003D010000}"/>
  <tableColumns count="4">
    <tableColumn id="1" xr3:uid="{00000000-0010-0000-1600-000001000000}" name="cislo"/>
    <tableColumn id="2" xr3:uid="{00000000-0010-0000-1600-000002000000}" name="nazev"/>
    <tableColumn id="3" xr3:uid="{00000000-0010-0000-1600-000003000000}" name="jm_souboru"/>
    <tableColumn id="4" xr3:uid="{00000000-0010-0000-1600-000004000000}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17000000}" name="Tabulka318" displayName="Tabulka318" ref="R311:V312" insertRow="1" totalsRowShown="0">
  <autoFilter ref="R311:V312" xr:uid="{00000000-0009-0000-0100-00003E010000}"/>
  <tableColumns count="5">
    <tableColumn id="1" xr3:uid="{00000000-0010-0000-1700-000001000000}" name="cislo"/>
    <tableColumn id="2" xr3:uid="{00000000-0010-0000-1700-000002000000}" name="nazev"/>
    <tableColumn id="3" xr3:uid="{00000000-0010-0000-1700-000003000000}" name="jm_souboru"/>
    <tableColumn id="4" xr3:uid="{00000000-0010-0000-1700-000004000000}" name="kodovani"/>
    <tableColumn id="5" xr3:uid="{00000000-0010-0000-1700-000005000000}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2000000}" name="Tabulka238" displayName="Tabulka238" ref="R40:S44" tableType="xml" totalsRowShown="0" headerRowDxfId="73">
  <autoFilter ref="R40:S44" xr:uid="{00000000-0009-0000-0100-0000EE000000}"/>
  <tableColumns count="2">
    <tableColumn id="1" xr3:uid="{00000000-0010-0000-0200-000001000000}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xr3:uid="{00000000-0010-0000-0200-000002000000}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3000000}" name="Tabulka239" displayName="Tabulka239" ref="R50:S54" tableType="xml" totalsRowShown="0" headerRowDxfId="70">
  <autoFilter ref="R50:S54" xr:uid="{00000000-0009-0000-0100-0000EF000000}"/>
  <tableColumns count="2">
    <tableColumn id="1" xr3:uid="{00000000-0010-0000-0300-000001000000}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xr3:uid="{00000000-0010-0000-0300-000002000000}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4000000}" name="Tabulka240" displayName="Tabulka240" ref="R60:V63" tableType="xml" totalsRowShown="0" headerRowDxfId="67">
  <autoFilter ref="R60:V63" xr:uid="{00000000-0009-0000-0100-0000F0000000}"/>
  <tableColumns count="5">
    <tableColumn id="1" xr3:uid="{00000000-0010-0000-0400-000001000000}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xr3:uid="{00000000-0010-0000-0400-000002000000}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xr3:uid="{00000000-0010-0000-0400-000003000000}" uniqueName="ucsdruz_podprij" name="ucsdruz_podprij" dataDxfId="64">
      <calculatedColumnFormula>IF('1Př2'!F33&lt;&gt;"",'1Př2'!F33*100,"")</calculatedColumnFormula>
      <xmlColumnPr mapId="7" xpath="/Pisemnost/DPFDP6/VetaF/@ucsdruz_podprij" xmlDataType="decimal"/>
    </tableColumn>
    <tableColumn id="4" xr3:uid="{00000000-0010-0000-0400-000004000000}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xr3:uid="{00000000-0010-0000-0400-000005000000}" uniqueName="ucsdruz_prijmeni" name="ucsdruz_prijmeni" dataDxfId="62">
      <calculatedColumnFormula>IF('1Př2'!C33&lt;&gt;"",'1Př2'!C33,"")</calculatedColumnFormula>
      <xmlColumnPr mapId="7" xpath="/Pisemnost/DPFDP6/VetaF/@ucsdruz_prijmeni" xmlDataType="string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5000000}" name="Tabulka241" displayName="Tabulka241" ref="R70:U72" tableType="xml" totalsRowShown="0" headerRowDxfId="61">
  <autoFilter ref="R70:U72" xr:uid="{00000000-0009-0000-0100-0000F1000000}"/>
  <tableColumns count="4">
    <tableColumn id="1" xr3:uid="{00000000-0010-0000-0500-000001000000}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xr3:uid="{00000000-0010-0000-0500-000002000000}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xr3:uid="{00000000-0010-0000-0500-000003000000}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xr3:uid="{00000000-0010-0000-0500-000004000000}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6000000}" name="Tabulka242" displayName="Tabulka242" ref="R80:U81" tableType="xml" totalsRowShown="0" headerRowDxfId="56">
  <autoFilter ref="R80:U81" xr:uid="{00000000-0009-0000-0100-0000F2000000}"/>
  <tableColumns count="4">
    <tableColumn id="1" xr3:uid="{00000000-0010-0000-0600-000001000000}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xr3:uid="{00000000-0010-0000-0600-000002000000}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xr3:uid="{00000000-0010-0000-0600-000003000000}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xr3:uid="{00000000-0010-0000-0600-000004000000}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7000000}" name="Tabulka243" displayName="Tabulka243" ref="R90:S91" tableType="xml" totalsRowShown="0" headerRowDxfId="52">
  <autoFilter ref="R90:S91" xr:uid="{00000000-0009-0000-0100-0000F3000000}"/>
  <tableColumns count="2">
    <tableColumn id="1" xr3:uid="{00000000-0010-0000-0700-000001000000}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xr3:uid="{00000000-0010-0000-0700-000002000000}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08000000}" name="Tabulka263" displayName="Tabulka263" ref="R100:W104" tableType="xml" totalsRowShown="0" headerRowDxfId="50">
  <autoFilter ref="R100:W104" xr:uid="{00000000-0009-0000-0100-000007010000}"/>
  <tableColumns count="6">
    <tableColumn id="1" xr3:uid="{00000000-0010-0000-0800-000001000000}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xr3:uid="{00000000-0010-0000-0800-000002000000}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xr3:uid="{00000000-0010-0000-0800-000003000000}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xr3:uid="{00000000-0010-0000-0800-000004000000}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xr3:uid="{00000000-0010-0000-0800-000005000000}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xr3:uid="{00000000-0010-0000-0800-000006000000}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" xr6:uid="{59AE0F76-C7F2-4C3A-B77E-E544A713078B}" r="B16" connectionId="0">
    <xmlCellPr id="1" xr6:uid="{C951A09F-C500-4727-BA64-3399D5C8F28A}" uniqueName="kc_csprij">
      <xmlPr mapId="7" xpath="/Pisemnost/DPFDP6/VetaD/@kc_csprij" xmlDataType="decimal"/>
    </xmlCellPr>
  </singleXmlCell>
  <singleXmlCell id="2" xr6:uid="{D1D08364-0F7B-429F-972F-FA1051553FFE}" r="B49" connectionId="0">
    <xmlCellPr id="1" xr6:uid="{6C6F871C-41CC-4888-B074-0038A65E1BF4}" uniqueName="kod_popl">
      <xmlPr mapId="7" xpath="/Pisemnost/DPFDP6/VetaD/@kod_popl" xmlDataType="string"/>
    </xmlCellPr>
  </singleXmlCell>
  <singleXmlCell id="3" xr6:uid="{6A4E2C68-B128-4B2D-9832-F050E606F10D}" r="B26" connectionId="0">
    <xmlCellPr id="1" xr6:uid="{C21E6790-0E96-4518-8430-20BACA1D3CB7}" uniqueName="kc_op15_1e1">
      <xmlPr mapId="7" xpath="/Pisemnost/DPFDP6/VetaD/@kc_op15_1e1" xmlDataType="decimal"/>
    </xmlCellPr>
  </singleXmlCell>
  <singleXmlCell id="4" xr6:uid="{A6B79B03-101E-490C-8B75-9E9AE47D3521}" r="B69" connectionId="0">
    <xmlCellPr id="1" xr6:uid="{0ECE3F08-B7CB-4C58-8C4F-A5927E0159C9}" uniqueName="uv_rozsah">
      <xmlPr mapId="7" xpath="/Pisemnost/DPFDP6/VetaD/@uv_rozsah" xmlDataType="string"/>
    </xmlCellPr>
  </singleXmlCell>
  <singleXmlCell id="5" xr6:uid="{630DB491-E317-4C8F-AD61-29D7A4D34E0A}" r="B9" connectionId="0">
    <xmlCellPr id="1" xr6:uid="{EB28F157-C185-4E5B-A7AC-9F47BDCD2BCD}" uniqueName="da_slevy35ba">
      <xmlPr mapId="7" xpath="/Pisemnost/DPFDP6/VetaD/@da_slevy35ba" xmlDataType="decimal"/>
    </xmlCellPr>
  </singleXmlCell>
  <singleXmlCell id="6" xr6:uid="{15983A6C-78C0-4557-AC37-F4D295E6F354}" r="B64" connectionId="0">
    <xmlCellPr id="1" xr6:uid="{4DAED9A3-027C-408F-97D9-8AAD079A3E76}" uniqueName="rok">
      <xmlPr mapId="7" xpath="/Pisemnost/DPFDP6/VetaD/@rok" xmlDataType="decimal"/>
    </xmlCellPr>
  </singleXmlCell>
  <singleXmlCell id="7" xr6:uid="{80278BA0-F6A4-4C9F-930C-F292A39F96FE}" r="B62" connectionId="0">
    <xmlCellPr id="1" xr6:uid="{39BA9116-5D58-4B4A-BE6E-185B7FA42C94}" uniqueName="pln_moc">
      <xmlPr mapId="7" xpath="/Pisemnost/DPFDP6/VetaD/@pln_moc" xmlDataType="string"/>
    </xmlCellPr>
  </singleXmlCell>
  <singleXmlCell id="8" xr6:uid="{CB344A45-9BB2-4292-9458-C512544ABDB2}" r="B50" connectionId="0">
    <xmlCellPr id="1" xr6:uid="{620E527F-2FE0-498F-9FEC-3AB817928F85}" uniqueName="m_cinvduch">
      <xmlPr mapId="7" xpath="/Pisemnost/DPFDP6/VetaD/@m_cinvduch" xmlDataType="decimal"/>
    </xmlCellPr>
  </singleXmlCell>
  <singleXmlCell id="9" xr6:uid="{A6776904-C536-457F-9957-12EB82BA9016}" r="B13" connectionId="0">
    <xmlCellPr id="1" xr6:uid="{445FC87D-5D59-4146-9E0B-15DFFA7C5C7C}" uniqueName="dokument">
      <xmlPr mapId="7" xpath="/Pisemnost/DPFDP6/VetaD/@dokument" xmlDataType="anyType"/>
    </xmlCellPr>
  </singleXmlCell>
  <singleXmlCell id="10" xr6:uid="{AAE4145C-6877-45C4-83D8-A964014E00CB}" r="B2" connectionId="0">
    <xmlCellPr id="1" xr6:uid="{3CA55E16-979D-44FF-9408-A61E866CB498}" uniqueName="audit">
      <xmlPr mapId="7" xpath="/Pisemnost/DPFDP6/VetaD/@audit" xmlDataType="string"/>
    </xmlCellPr>
  </singleXmlCell>
  <singleXmlCell id="11" xr6:uid="{996ED35E-9294-4334-AD5F-A25DCCE5DFD2}" r="B22" connectionId="0">
    <xmlCellPr id="1" xr6:uid="{6B7612B9-ACDD-4CF3-B9EB-6232F37EF3AE}" uniqueName="kc_manztpp">
      <xmlPr mapId="7" xpath="/Pisemnost/DPFDP6/VetaD/@kc_manztpp" xmlDataType="decimal"/>
    </xmlCellPr>
  </singleXmlCell>
  <singleXmlCell id="12" xr6:uid="{3C2EBFC3-ED65-456E-BDCD-C89BF9CC7A5C}" r="B3" connectionId="0">
    <xmlCellPr id="1" xr6:uid="{7225A7AF-60BD-4895-BA3F-CF72D7DDA5C0}" uniqueName="c_ufo_cil">
      <xmlPr mapId="7" xpath="/Pisemnost/DPFDP6/VetaD/@c_ufo_cil" xmlDataType="decimal"/>
    </xmlCellPr>
  </singleXmlCell>
  <singleXmlCell id="13" xr6:uid="{45EE106B-FBDD-4300-BF79-65B6DD624AFC}" r="B58" connectionId="0">
    <xmlCellPr id="1" xr6:uid="{802F50A1-7205-4C57-BE6C-5D4770389BE8}" uniqueName="manz_jmeno">
      <xmlPr mapId="7" xpath="/Pisemnost/DPFDP6/VetaD/@manz_jmeno" xmlDataType="string"/>
    </xmlCellPr>
  </singleXmlCell>
  <singleXmlCell id="14" xr6:uid="{32169F7C-EE90-4098-87C8-1035239184FA}" r="B15" connectionId="0">
    <xmlCellPr id="1" xr6:uid="{D9B0B168-18AA-4B5A-931E-AF1DD685B4C8}" uniqueName="k_uladis">
      <xmlPr mapId="7" xpath="/Pisemnost/DPFDP6/VetaD/@k_uladis" xmlDataType="anyType"/>
    </xmlCellPr>
  </singleXmlCell>
  <singleXmlCell id="15" xr6:uid="{59C91F2C-E404-4F59-A52A-4A80AC9F3DC1}" r="B8" connectionId="0">
    <xmlCellPr id="1" xr6:uid="{75EA5253-7BE6-4518-8FB5-BE22D38E4000}" uniqueName="da_slevy">
      <xmlPr mapId="7" xpath="/Pisemnost/DPFDP6/VetaD/@da_slevy" xmlDataType="decimal"/>
    </xmlCellPr>
  </singleXmlCell>
  <singleXmlCell id="16" xr6:uid="{3A8916B0-D8A2-4373-954D-DD5F2BF9145F}" r="B72" connectionId="0">
    <xmlCellPr id="1" xr6:uid="{ADC8B182-E933-417D-973E-F86081BDB084}" uniqueName="zdobd_od">
      <xmlPr mapId="7" xpath="/Pisemnost/DPFDP6/VetaD/@zdobd_od" xmlDataType="string"/>
    </xmlCellPr>
  </singleXmlCell>
  <singleXmlCell id="17" xr6:uid="{09822C46-F9E3-4394-94AB-70E0A3C6624A}" r="B59" connectionId="0">
    <xmlCellPr id="1" xr6:uid="{9EFEC342-9944-42A6-94C1-FDF474C2EF85}" uniqueName="manz_prijmeni">
      <xmlPr mapId="7" xpath="/Pisemnost/DPFDP6/VetaD/@manz_prijmeni" xmlDataType="string"/>
    </xmlCellPr>
  </singleXmlCell>
  <singleXmlCell id="18" xr6:uid="{5F4D334E-262B-4C7A-AEE3-77A37850F9D7}" r="B30" connectionId="0">
    <xmlCellPr id="1" xr6:uid="{9413DCAE-A533-4A7E-9CB5-F58CAD1EE3D1}" uniqueName="kc_pzdp">
      <xmlPr mapId="7" xpath="/Pisemnost/DPFDP6/VetaD/@kc_pzdp" xmlDataType="decimal"/>
    </xmlCellPr>
  </singleXmlCell>
  <singleXmlCell id="19" xr6:uid="{2001C785-6781-4D2F-B4A5-E2854629430D}" r="B25" connectionId="0">
    <xmlCellPr id="1" xr6:uid="{EA7B34AD-EB82-44F5-9C68-9718B6EE54A1}" uniqueName="kc_op15_1d">
      <xmlPr mapId="7" xpath="/Pisemnost/DPFDP6/VetaD/@kc_op15_1d" xmlDataType="decimal"/>
    </xmlCellPr>
  </singleXmlCell>
  <singleXmlCell id="20" xr6:uid="{0CE7ADF9-9CE1-476A-800C-AD0C7AF77424}" r="B46" connectionId="0">
    <xmlCellPr id="1" xr6:uid="{C50D31CA-A670-4111-8273-56C8BAB0BF3A}" uniqueName="kc_zbyvpred">
      <xmlPr mapId="7" xpath="/Pisemnost/DPFDP6/VetaD/@kc_zbyvpred" xmlDataType="decimal"/>
    </xmlCellPr>
  </singleXmlCell>
  <singleXmlCell id="21" xr6:uid="{652E2C44-CF8D-4940-8A60-2A7EEE9B36DE}" r="B34" connectionId="0">
    <xmlCellPr id="1" xr6:uid="{DF171B0C-55B9-4265-B7E4-E8F615A58D9D}" uniqueName="kc_rozdil_zt">
      <xmlPr mapId="7" xpath="/Pisemnost/DPFDP6/VetaD/@kc_rozdil_zt" xmlDataType="decimal"/>
    </xmlCellPr>
  </singleXmlCell>
  <singleXmlCell id="22" xr6:uid="{12EA207E-65B2-4101-861F-35C43DAE977D}" r="B70" connectionId="0">
    <xmlCellPr id="1" xr6:uid="{7130C780-CF54-4B8B-A527-E6E8F4F87DD7}" uniqueName="uv_vyhl">
      <xmlPr mapId="7" xpath="/Pisemnost/DPFDP6/VetaD/@uv_vyhl" xmlDataType="decimal"/>
    </xmlCellPr>
  </singleXmlCell>
  <singleXmlCell id="23" xr6:uid="{4B4EBD99-2B1A-452D-AB37-A95B1C960354}" r="B24" connectionId="0">
    <xmlCellPr id="1" xr6:uid="{D95FAF38-5D62-4FDB-982A-7ABCDB244C06}" uniqueName="kc_op15_1c">
      <xmlPr mapId="7" xpath="/Pisemnost/DPFDP6/VetaD/@kc_op15_1c" xmlDataType="decimal"/>
    </xmlCellPr>
  </singleXmlCell>
  <singleXmlCell id="24" xr6:uid="{20C76748-B182-4C33-A356-79C49DA7853D}" r="B57" connectionId="0">
    <xmlCellPr id="1" xr6:uid="{CEF81E99-4641-40D5-9A4A-019CF4E282EB}" uniqueName="m_ztpp">
      <xmlPr mapId="7" xpath="/Pisemnost/DPFDP6/VetaD/@m_ztpp" xmlDataType="decimal"/>
    </xmlCellPr>
  </singleXmlCell>
  <singleXmlCell id="25" xr6:uid="{1C8D6448-12B0-4918-B452-61547E7CFBE8}" r="B7" connectionId="0">
    <xmlCellPr id="1" xr6:uid="{C5289619-C1CA-4EC8-8647-53C1972832FD}" uniqueName="da_celod13">
      <xmlPr mapId="7" xpath="/Pisemnost/DPFDP6/VetaD/@da_celod13" xmlDataType="decimal"/>
    </xmlCellPr>
  </singleXmlCell>
  <singleXmlCell id="26" xr6:uid="{838AB017-F16A-41D6-9889-0AC772E9182A}" r="B14" connectionId="0">
    <xmlCellPr id="1" xr6:uid="{8FE5A77B-9BD9-40C6-BB59-C43DC320958A}" uniqueName="duvpoddapdpf">
      <xmlPr mapId="7" xpath="/Pisemnost/DPFDP6/VetaD/@duvpoddapdpf" xmlDataType="string"/>
    </xmlCellPr>
  </singleXmlCell>
  <singleXmlCell id="27" xr6:uid="{9346FBC6-A6FC-43E7-902E-7933FF30397A}" r="B51" connectionId="0">
    <xmlCellPr id="1" xr6:uid="{05C8414F-BA42-4755-8124-5268BB642A2C}" uniqueName="m_deti">
      <xmlPr mapId="7" xpath="/Pisemnost/DPFDP6/VetaD/@m_deti" xmlDataType="decimal"/>
    </xmlCellPr>
  </singleXmlCell>
  <singleXmlCell id="28" xr6:uid="{818162B1-5ECA-4AF7-8BF1-97364FC9E7D5}" r="B67" connectionId="0">
    <xmlCellPr id="1" xr6:uid="{7BD1BE6B-6BA2-4A6E-94F7-259738633ACA}" uniqueName="uhrn_slevy35ba">
      <xmlPr mapId="7" xpath="/Pisemnost/DPFDP6/VetaD/@uhrn_slevy35ba" xmlDataType="decimal"/>
    </xmlCellPr>
  </singleXmlCell>
  <singleXmlCell id="29" xr6:uid="{BE0F07F8-8867-4794-ACD9-85A644BC45AC}" r="B55" connectionId="0">
    <xmlCellPr id="1" xr6:uid="{B9BC08FC-3E71-418D-A3E5-459CB47302B5}" uniqueName="m_stud">
      <xmlPr mapId="7" xpath="/Pisemnost/DPFDP6/VetaD/@m_stud" xmlDataType="decimal"/>
    </xmlCellPr>
  </singleXmlCell>
  <singleXmlCell id="30" xr6:uid="{D0ED7CDF-F23D-4A98-8FA1-DAE220AE1C80}" r="B6" connectionId="0">
    <xmlCellPr id="1" xr6:uid="{1D16E561-98F8-4E44-8028-3E29E2E071BB}" uniqueName="d_zjist">
      <xmlPr mapId="7" xpath="/Pisemnost/DPFDP6/VetaD/@d_zjist" xmlDataType="string"/>
    </xmlCellPr>
  </singleXmlCell>
  <singleXmlCell id="31" xr6:uid="{27FEF603-53B8-4F34-9AA5-42C5F5CAB3C3}" r="B28" connectionId="0">
    <xmlCellPr id="1" xr6:uid="{A4D7F350-BF19-4080-97BD-FCEAA85C4AE6}" uniqueName="kc_pausal">
      <xmlPr mapId="7" xpath="/Pisemnost/DPFDP6/VetaD/@kc_pausal" xmlDataType="decimal"/>
    </xmlCellPr>
  </singleXmlCell>
  <singleXmlCell id="32" xr6:uid="{F163EBEA-57E6-44FB-A0FB-F71A2AB5AA90}" r="B45" connectionId="0">
    <xmlCellPr id="1" xr6:uid="{C0C116E0-816B-4332-94F9-7551442AB2D6}" uniqueName="kc_zalzavc">
      <xmlPr mapId="7" xpath="/Pisemnost/DPFDP6/VetaD/@kc_zalzavc" xmlDataType="decimal"/>
    </xmlCellPr>
  </singleXmlCell>
  <singleXmlCell id="33" xr6:uid="{05929470-BBE6-4623-B1DA-703774CE2673}" r="B41" connectionId="0">
    <xmlCellPr id="1" xr6:uid="{CA8CA86B-63D0-4C6D-9665-DB43BE7B4ADB}" uniqueName="kc_sraz_rezehp">
      <xmlPr mapId="7" xpath="/Pisemnost/DPFDP6/VetaD/@kc_sraz_rezehp" xmlDataType="decimal"/>
    </xmlCellPr>
  </singleXmlCell>
  <singleXmlCell id="34" xr6:uid="{06CD4232-C18B-4AF4-A3A4-164D528C4ADB}" r="B17" connectionId="0">
    <xmlCellPr id="1" xr6:uid="{61B9275B-B937-4ED1-85D7-B3BA4E6E7E06}" uniqueName="kc_danbonus">
      <xmlPr mapId="7" xpath="/Pisemnost/DPFDP6/VetaD/@kc_danbonus" xmlDataType="decimal"/>
    </xmlCellPr>
  </singleXmlCell>
  <singleXmlCell id="35" xr6:uid="{54634B7E-4A26-4BDF-A64A-9BF897865FCB}" r="B23" connectionId="0">
    <xmlCellPr id="1" xr6:uid="{0B832244-BA03-46D1-8B05-413D93C1F44A}" uniqueName="kc_op15_1a">
      <xmlPr mapId="7" xpath="/Pisemnost/DPFDP6/VetaD/@kc_op15_1a" xmlDataType="decimal"/>
    </xmlCellPr>
  </singleXmlCell>
  <singleXmlCell id="36" xr6:uid="{F2259602-7978-4094-966C-C5F013BC1F12}" r="B33" connectionId="0">
    <xmlCellPr id="1" xr6:uid="{6430E04A-C7E5-4153-8866-47521253F4B4}" uniqueName="kc_rozdil_dp">
      <xmlPr mapId="7" xpath="/Pisemnost/DPFDP6/VetaD/@kc_rozdil_dp" xmlDataType="decimal"/>
    </xmlCellPr>
  </singleXmlCell>
  <singleXmlCell id="37" xr6:uid="{5707816A-2514-49D9-AC88-CC84A3F93A57}" r="B5" connectionId="0">
    <xmlCellPr id="1" xr6:uid="{FCEC0808-9445-44DA-83FE-B1B206C54ED6}" uniqueName="d_uv">
      <xmlPr mapId="7" xpath="/Pisemnost/DPFDP6/VetaD/@d_uv" xmlDataType="string"/>
    </xmlCellPr>
  </singleXmlCell>
  <singleXmlCell id="38" xr6:uid="{9B6E8621-0957-42E1-8F2F-36F2554B8B0E}" r="B68" connectionId="0">
    <xmlCellPr id="1" xr6:uid="{A333727C-840C-47FB-8EDC-3A68FE2797E1}" uniqueName="uv_podpis">
      <xmlPr mapId="7" xpath="/Pisemnost/DPFDP6/VetaD/@uv_podpis" xmlDataType="string"/>
    </xmlCellPr>
  </singleXmlCell>
  <singleXmlCell id="39" xr6:uid="{273F1C8D-F6C3-4458-A01E-19251D480F13}" r="B63" connectionId="0">
    <xmlCellPr id="1" xr6:uid="{336AADED-C913-4C56-A535-D6AA3A6E18B2}" uniqueName="prop_zahr">
      <xmlPr mapId="7" xpath="/Pisemnost/DPFDP6/VetaD/@prop_zahr" xmlDataType="string"/>
    </xmlCellPr>
  </singleXmlCell>
  <singleXmlCell id="40" xr6:uid="{4AAD7171-F2AF-40DE-9726-AE7CA4922A88}" r="B18" connectionId="0">
    <xmlCellPr id="1" xr6:uid="{9C0C9F75-9F5D-42BB-A3CE-CF74FC5817F8}" uniqueName="kc_dazvyhod">
      <xmlPr mapId="7" xpath="/Pisemnost/DPFDP6/VetaD/@kc_dazvyhod" xmlDataType="decimal"/>
    </xmlCellPr>
  </singleXmlCell>
  <singleXmlCell id="41" xr6:uid="{28C51773-E03D-4B91-86FB-3EE5F197F627}" r="B44" connectionId="0">
    <xmlCellPr id="1" xr6:uid="{04343CC5-300F-4539-A83A-45AE91322694}" uniqueName="kc_zalpred">
      <xmlPr mapId="7" xpath="/Pisemnost/DPFDP6/VetaD/@kc_zalpred" xmlDataType="decimal"/>
    </xmlCellPr>
  </singleXmlCell>
  <singleXmlCell id="42" xr6:uid="{F0D010AF-2BEE-41FE-8C35-F23E89C3DD06}" r="B48" connectionId="0">
    <xmlCellPr id="1" xr6:uid="{ABFBFD6A-B9C5-4A47-A7CF-651409E41F98}" uniqueName="kc_zjizt">
      <xmlPr mapId="7" xpath="/Pisemnost/DPFDP6/VetaD/@kc_zjizt" xmlDataType="decimal"/>
    </xmlCellPr>
  </singleXmlCell>
  <singleXmlCell id="43" xr6:uid="{6AF24AF9-0657-4B81-9996-1755B7CFDA44}" r="B71" connectionId="0">
    <xmlCellPr id="1" xr6:uid="{B2B86656-BAE8-4F74-ACA4-F404046A6FB1}" uniqueName="zdobd_do">
      <xmlPr mapId="7" xpath="/Pisemnost/DPFDP6/VetaD/@zdobd_do" xmlDataType="string"/>
    </xmlCellPr>
  </singleXmlCell>
  <singleXmlCell id="44" xr6:uid="{FD4F5284-2A2A-4C5A-ADF4-A875DA3241D4}" r="B4" connectionId="0">
    <xmlCellPr id="1" xr6:uid="{77564FCE-324C-4195-9BD9-D0AC52034161}" uniqueName="d_duvpod">
      <xmlPr mapId="7" xpath="/Pisemnost/DPFDP6/VetaD/@d_duvpod" xmlDataType="string"/>
    </xmlCellPr>
  </singleXmlCell>
  <singleXmlCell id="45" xr6:uid="{5A49F72A-C965-4D28-8066-B42DED33FFED}" r="B20" connectionId="0">
    <xmlCellPr id="1" xr6:uid="{F5048114-BD6C-4AB6-851E-D5F8DC013EA9}" uniqueName="kc_dztrata">
      <xmlPr mapId="7" xpath="/Pisemnost/DPFDP6/VetaD/@kc_dztrata" xmlDataType="decimal"/>
    </xmlCellPr>
  </singleXmlCell>
  <singleXmlCell id="46" xr6:uid="{AA75B4F8-9E02-4160-A2E8-A320DA5EA8FF}" r="B21" connectionId="0">
    <xmlCellPr id="1" xr6:uid="{101830EA-07EF-4CF1-A74D-8890BED933AA}" uniqueName="kc_konkurs">
      <xmlPr mapId="7" xpath="/Pisemnost/DPFDP6/VetaD/@kc_konkurs" xmlDataType="decimal"/>
    </xmlCellPr>
  </singleXmlCell>
  <singleXmlCell id="47" xr6:uid="{92262C61-D9EC-4414-8EEC-F8352369784D}" r="B47" connectionId="0">
    <xmlCellPr id="1" xr6:uid="{C0368465-8F33-4FC1-A54A-880056029918}" uniqueName="kc_zjidp">
      <xmlPr mapId="7" xpath="/Pisemnost/DPFDP6/VetaD/@kc_zjidp" xmlDataType="decimal"/>
    </xmlCellPr>
  </singleXmlCell>
  <singleXmlCell id="48" xr6:uid="{76D17579-7DA5-43A7-AED7-C26ADC486C8C}" r="B60" connectionId="0">
    <xmlCellPr id="1" xr6:uid="{DFE3D46C-FFF0-4B22-B757-5917BCE84242}" uniqueName="manz_r_cislo">
      <xmlPr mapId="7" xpath="/Pisemnost/DPFDP6/VetaD/@manz_r_cislo" xmlDataType="string"/>
    </xmlCellPr>
  </singleXmlCell>
  <singleXmlCell id="49" xr6:uid="{D9EFBC8B-C992-45DB-9C55-D1776941E199}" r="B56" connectionId="0">
    <xmlCellPr id="1" xr6:uid="{59B1A8AB-0DDD-4553-BC37-1322B437D961}" uniqueName="m_vyzmanzl">
      <xmlPr mapId="7" xpath="/Pisemnost/DPFDP6/VetaD/@m_vyzmanzl" xmlDataType="decimal"/>
    </xmlCellPr>
  </singleXmlCell>
  <singleXmlCell id="50" xr6:uid="{51FBD125-784D-45D6-9085-0E828740436E}" r="B10" connectionId="0">
    <xmlCellPr id="1" xr6:uid="{D3A3A18B-85FA-4190-BBD2-41CBA402BD48}" uniqueName="da_slevy35c">
      <xmlPr mapId="7" xpath="/Pisemnost/DPFDP6/VetaD/@da_slevy35c" xmlDataType="decimal"/>
    </xmlCellPr>
  </singleXmlCell>
  <singleXmlCell id="51" xr6:uid="{DB9EE20A-FE9C-41F4-A93A-BFC7359DE554}" r="B43" connectionId="0">
    <xmlCellPr id="1" xr6:uid="{D1C795CF-8047-4E15-9816-A80599B036F6}" uniqueName="kc_vyplbonus">
      <xmlPr mapId="7" xpath="/Pisemnost/DPFDP6/VetaD/@kc_vyplbonus" xmlDataType="decimal"/>
    </xmlCellPr>
  </singleXmlCell>
  <singleXmlCell id="52" xr6:uid="{7005D76E-CA04-43BE-8168-542FA47A9C99}" r="B42" connectionId="0">
    <xmlCellPr id="1" xr6:uid="{20E6BF63-4221-429F-8D55-C8E953254FB7}" uniqueName="kc_stud">
      <xmlPr mapId="7" xpath="/Pisemnost/DPFDP6/VetaD/@kc_stud" xmlDataType="decimal"/>
    </xmlCellPr>
  </singleXmlCell>
  <singleXmlCell id="53" xr6:uid="{D620393A-D775-407F-B86C-18EC8E550C19}" r="B11" connectionId="0">
    <xmlCellPr id="1" xr6:uid="{086F34D9-1B87-4C99-9558-E813373FF22B}" uniqueName="da_slezap">
      <xmlPr mapId="7" xpath="/Pisemnost/DPFDP6/VetaD/@da_slezap" xmlDataType="decimal"/>
    </xmlCellPr>
  </singleXmlCell>
  <singleXmlCell id="54" xr6:uid="{FA1F144F-1A20-4BC3-83D8-A2F385C6254B}" r="B54" connectionId="0">
    <xmlCellPr id="1" xr6:uid="{AF15A659-11CF-4042-A0FC-869B9FE93982}" uniqueName="m_manz">
      <xmlPr mapId="7" xpath="/Pisemnost/DPFDP6/VetaD/@m_manz" xmlDataType="decimal"/>
    </xmlCellPr>
  </singleXmlCell>
  <singleXmlCell id="55" xr6:uid="{1723D228-B560-4C1C-B6DD-DF0E206FC139}" r="B31" connectionId="0">
    <xmlCellPr id="1" xr6:uid="{75F7F8F8-0930-466E-BA1C-7265A43BFC46}" uniqueName="kc_pzzt">
      <xmlPr mapId="7" xpath="/Pisemnost/DPFDP6/VetaD/@kc_pzzt" xmlDataType="decimal"/>
    </xmlCellPr>
  </singleXmlCell>
  <singleXmlCell id="56" xr6:uid="{DDDFF8D7-A252-4C73-B078-C653E4895886}" r="B65" connectionId="0">
    <xmlCellPr id="1" xr6:uid="{7587C395-0751-405B-9D0E-FC46A7163064}" uniqueName="sleva_rp">
      <xmlPr mapId="7" xpath="/Pisemnost/DPFDP6/VetaD/@sleva_rp" xmlDataType="decimal"/>
    </xmlCellPr>
  </singleXmlCell>
  <singleXmlCell id="57" xr6:uid="{04BE1D36-5283-43CD-87B0-F9558461BB28}" r="B39" connectionId="0">
    <xmlCellPr id="1" xr6:uid="{F494885F-D3D1-4583-98E7-DD9578D8056A}" uniqueName="kc_sraz385">
      <xmlPr mapId="7" xpath="/Pisemnost/DPFDP6/VetaD/@kc_sraz385" xmlDataType="decimal"/>
    </xmlCellPr>
  </singleXmlCell>
  <singleXmlCell id="58" xr6:uid="{28A46E07-2B9B-45F1-A7A7-AEB82D74FA07}" r="B52" connectionId="0">
    <xmlCellPr id="1" xr6:uid="{CC4002FC-03A0-4AAE-A5CF-DD93BA4868EE}" uniqueName="m_detiztpp">
      <xmlPr mapId="7" xpath="/Pisemnost/DPFDP6/VetaD/@m_detiztpp" xmlDataType="decimal"/>
    </xmlCellPr>
  </singleXmlCell>
  <singleXmlCell id="59" xr6:uid="{5F574FBF-07C5-4423-8EE9-B2129AB0E5C5}" r="B35" connectionId="0">
    <xmlCellPr id="1" xr6:uid="{1ECE9494-D1AF-46D9-8C5A-0F4483321518}" uniqueName="kc_slevy35c">
      <xmlPr mapId="7" xpath="/Pisemnost/DPFDP6/VetaD/@kc_slevy35c" xmlDataType="decimal"/>
    </xmlCellPr>
  </singleXmlCell>
  <singleXmlCell id="60" xr6:uid="{7802E4F1-4786-408F-8EBF-BA7BF7CB899D}" r="B53" connectionId="0">
    <xmlCellPr id="1" xr6:uid="{92930B24-BFBC-43AD-A0E2-59CEA850A115}" uniqueName="m_invduch">
      <xmlPr mapId="7" xpath="/Pisemnost/DPFDP6/VetaD/@m_invduch" xmlDataType="decimal"/>
    </xmlCellPr>
  </singleXmlCell>
  <singleXmlCell id="61" xr6:uid="{ED2E91A9-8928-4198-949E-51500607E969}" r="B61" connectionId="0">
    <xmlCellPr id="1" xr6:uid="{DA60B75A-D302-4082-A929-6C1FA594C353}" uniqueName="manz_titul">
      <xmlPr mapId="7" xpath="/Pisemnost/DPFDP6/VetaD/@manz_titul" xmlDataType="string"/>
    </xmlCellPr>
  </singleXmlCell>
  <singleXmlCell id="62" xr6:uid="{E299848A-46B2-4166-8DEB-B4FB2E14A1D3}" r="B12" connectionId="0">
    <xmlCellPr id="1" xr6:uid="{4AF05E69-DBBC-4F5A-BE2E-70902775096B}" uniqueName="dap_typ">
      <xmlPr mapId="7" xpath="/Pisemnost/DPFDP6/VetaD/@dap_typ" xmlDataType="string"/>
    </xmlCellPr>
  </singleXmlCell>
  <singleXmlCell id="63" xr6:uid="{ECAAB9A9-26F1-42CB-AE7D-E14F8913B3A6}" r="B27" connectionId="0">
    <xmlCellPr id="1" xr6:uid="{A9918596-6C53-4A78-8D32-13F1F43FC55F}" uniqueName="kc_op15_1e2">
      <xmlPr mapId="7" xpath="/Pisemnost/DPFDP6/VetaD/@kc_op15_1e2" xmlDataType="decimal"/>
    </xmlCellPr>
  </singleXmlCell>
  <singleXmlCell id="64" xr6:uid="{998FE0FA-8DA4-452A-ADAD-AD9ACF7E4F12}" r="B19" connectionId="0">
    <xmlCellPr id="1" xr6:uid="{DCC35718-9138-402D-91D9-71B891B89147}" uniqueName="kc_dite_ms">
      <xmlPr mapId="7" xpath="/Pisemnost/DPFDP6/VetaD/@kc_dite_ms" xmlDataType="decimal"/>
    </xmlCellPr>
  </singleXmlCell>
  <singleXmlCell id="65" xr6:uid="{80082B7B-1B37-4541-9961-0A1554862D5C}" r="B40" connectionId="0">
    <xmlCellPr id="1" xr6:uid="{F1347EF4-72C7-470C-B805-4D777D7E8E8C}" uniqueName="kc_sraz_6_4">
      <xmlPr mapId="7" xpath="/Pisemnost/DPFDP6/VetaD/@kc_sraz_6_4" xmlDataType="decimal"/>
    </xmlCellPr>
  </singleXmlCell>
  <singleXmlCell id="66" xr6:uid="{F1D7ECD7-A367-4FA5-8906-061036E144E9}" r="B73" connectionId="0">
    <xmlCellPr id="1" xr6:uid="{5844D185-2801-4CBC-817C-37B419AA6A1E}" uniqueName="m_deti2">
      <xmlPr mapId="7" xpath="/Pisemnost/DPFDP6/VetaD/@m_deti2" xmlDataType="decimal"/>
    </xmlCellPr>
  </singleXmlCell>
  <singleXmlCell id="67" xr6:uid="{5F72CCAA-B967-4B92-BCC8-E84DF5D83231}" r="B75" connectionId="0">
    <xmlCellPr id="1" xr6:uid="{E74465C3-7391-46E4-9B9F-88890F6210C7}" uniqueName="m_detiztpp2">
      <xmlPr mapId="7" xpath="/Pisemnost/DPFDP6/VetaD/@m_detiztpp2" xmlDataType="decimal"/>
    </xmlCellPr>
  </singleXmlCell>
  <singleXmlCell id="68" xr6:uid="{8E0A32EB-7C48-4D37-A950-009C6EC0E393}" r="B74" connectionId="0">
    <xmlCellPr id="1" xr6:uid="{9801E44E-B91A-4784-AD4A-5780538A9614}" uniqueName="m_deti3">
      <xmlPr mapId="7" xpath="/Pisemnost/DPFDP6/VetaD/@m_deti3" xmlDataType="decimal"/>
    </xmlCellPr>
  </singleXmlCell>
  <singleXmlCell id="69" xr6:uid="{7A3167D5-85AC-406F-9DE0-06982720E236}" r="B76" connectionId="0">
    <xmlCellPr id="1" xr6:uid="{45F1A0A6-2E1E-4D7C-9C21-DEDCAF133D88}" uniqueName="m_detiztpp3">
      <xmlPr mapId="7" xpath="/Pisemnost/DPFDP6/VetaD/@m_detiztpp3" xmlDataType="decimal"/>
    </xmlCellPr>
  </singleXmlCell>
  <singleXmlCell id="70" xr6:uid="{ED9B3738-A7EA-48DC-96DD-6BECA27C1ED6}" r="B77" connectionId="0">
    <xmlCellPr id="1" xr6:uid="{48524F26-51B0-46E5-A6A2-B4F852BC42BD}" uniqueName="manz_d_nar">
      <xmlPr mapId="7" xpath="/Pisemnost/DPFDP6/VetaD/@manz_d_nar" xmlDataType="string"/>
    </xmlCellPr>
  </singleXmlCell>
  <singleXmlCell id="71" xr6:uid="{45F42C00-A1FF-4579-A633-526243959FFF}" r="B80" connectionId="0">
    <xmlCellPr id="1" xr6:uid="{02F229FD-7B71-4768-8DB8-E3AF63BF7A89}" uniqueName="da_samzakl">
      <xmlPr mapId="7" xpath="/Pisemnost/DPFDP6/VetaD/@da_samzakl" xmlDataType="decimal"/>
    </xmlCellPr>
  </singleXmlCell>
  <singleXmlCell id="72" xr6:uid="{5319A07A-C4AF-4ED9-BCA1-56B1E19090DF}" r="B81" connectionId="0">
    <xmlCellPr id="1" xr6:uid="{7CFEF605-82A6-4F6A-B919-BEB58C8DAFD1}" uniqueName="kc_dan_celk">
      <xmlPr mapId="7" xpath="/Pisemnost/DPFDP6/VetaD/@kc_dan_celk" xmlDataType="decimal"/>
    </xmlCellPr>
  </singleXmlCell>
  <singleXmlCell id="73" xr6:uid="{E7035FE3-BD20-4FBE-BCE4-D651C39C3B67}" r="B82" connectionId="0">
    <xmlCellPr id="1" xr6:uid="{68A77787-F885-40B5-A3FE-CDDB508677CB}" uniqueName="kc_dan_po_db">
      <xmlPr mapId="7" xpath="/Pisemnost/DPFDP6/VetaD/@kc_dan_po_db" xmlDataType="decimal"/>
    </xmlCellPr>
  </singleXmlCell>
  <singleXmlCell id="74" xr6:uid="{9F92D272-3D37-462F-8DF2-D44E4676EDAC}" r="B83" connectionId="0">
    <xmlCellPr id="1" xr6:uid="{1B94B2E9-67F7-4042-A8CF-B651E85D9EE3}" uniqueName="kc_db_po_odpd">
      <xmlPr mapId="7" xpath="/Pisemnost/DPFDP6/VetaD/@kc_db_po_odpd" xmlDataType="decimal"/>
    </xmlCellPr>
  </singleXmlCell>
  <singleXmlCell id="75" xr6:uid="{DB313CFF-04EF-482D-A465-67313EECD7CC}" r="F51" connectionId="0">
    <xmlCellPr id="1" xr6:uid="{4CB6950C-AE1A-4E8A-B65F-364A380F7916}" uniqueName="uv_rozsah_rozv">
      <xmlPr mapId="7" xpath="/Pisemnost/DPFDP6/VetaD/@uv_rozsah_rozv" xmlDataType="string"/>
    </xmlCellPr>
  </singleXmlCell>
  <singleXmlCell id="76" xr6:uid="{DA2E9269-AD1A-4C90-981E-B4B0C8A841D8}" r="F52" connectionId="0">
    <xmlCellPr id="1" xr6:uid="{5C9E254D-2D04-4DF5-8967-5B801846B582}" uniqueName="uv_rozsah_vzz">
      <xmlPr mapId="7" xpath="/Pisemnost/DPFDP6/VetaD/@uv_rozsah_vzz" xmlDataType="string"/>
    </xmlCellPr>
  </singleXmlCell>
  <singleXmlCell id="77" xr6:uid="{B8A4035B-0FE7-4EE3-875C-B39CEA2909D6}" r="F30" connectionId="0">
    <xmlCellPr id="1" xr6:uid="{9D089EA2-2555-4751-A5F1-2487E58DAD71}" uniqueName="ulice">
      <xmlPr mapId="7" xpath="/Pisemnost/DPFDP6/VetaP/@ulice" xmlDataType="string"/>
    </xmlCellPr>
  </singleXmlCell>
  <singleXmlCell id="78" xr6:uid="{03DA8D41-5F1D-414F-9521-1508F1AD72FF}" r="F24" connectionId="0">
    <xmlCellPr id="1" xr6:uid="{190AB1E0-2FD7-484E-8A87-354182736161}" uniqueName="psc">
      <xmlPr mapId="7" xpath="/Pisemnost/DPFDP6/VetaP/@psc" xmlDataType="string"/>
    </xmlCellPr>
  </singleXmlCell>
  <singleXmlCell id="79" xr6:uid="{D9D923C9-E01C-45AA-9C80-841955A6C41E}" r="F20" connectionId="0">
    <xmlCellPr id="1" xr6:uid="{28BB287C-8E6B-45BB-AFC5-9EEB4C87A130}" uniqueName="opr_jmeno">
      <xmlPr mapId="7" xpath="/Pisemnost/DPFDP6/VetaP/@opr_jmeno" xmlDataType="string"/>
    </xmlCellPr>
  </singleXmlCell>
  <singleXmlCell id="80" xr6:uid="{D73A3F7D-A32E-4D43-9614-FA5EF3766B3A}" r="F10" connectionId="0">
    <xmlCellPr id="1" xr6:uid="{B51A749B-ADE8-4D2A-8C46-BFE715ABCB81}" uniqueName="email">
      <xmlPr mapId="7" xpath="/Pisemnost/DPFDP6/VetaP/@email" xmlDataType="string"/>
    </xmlCellPr>
  </singleXmlCell>
  <singleXmlCell id="81" xr6:uid="{DBEF53D5-1A7A-43AE-91CE-0E1600EEBE41}" r="F39" connectionId="0">
    <xmlCellPr id="1" xr6:uid="{CC420D07-ECCA-4971-94B6-5E19A10AF274}" uniqueName="z_ulice">
      <xmlPr mapId="7" xpath="/Pisemnost/DPFDP6/VetaP/@z_ulice" xmlDataType="string"/>
    </xmlCellPr>
  </singleXmlCell>
  <singleXmlCell id="82" xr6:uid="{BB841E04-C355-4EE8-BD77-D989EB357F42}" r="F13" connectionId="0">
    <xmlCellPr id="1" xr6:uid="{E97111D6-7EE2-4006-8737-8A4D0A7045E2}" uniqueName="krok_c_obce">
      <xmlPr mapId="7" xpath="/Pisemnost/DPFDP6/VetaP/@krok_c_obce" xmlDataType="decimal"/>
    </xmlCellPr>
  </singleXmlCell>
  <singleXmlCell id="83" xr6:uid="{890CEA93-D1DE-4B0A-9E4F-85C0954BD5DC}" r="F36" connectionId="0">
    <xmlCellPr id="1" xr6:uid="{C5ACF032-A240-426B-A8C2-A9529E574B1F}" uniqueName="z_email">
      <xmlPr mapId="7" xpath="/Pisemnost/DPFDP6/VetaP/@z_email" xmlDataType="string"/>
    </xmlCellPr>
  </singleXmlCell>
  <singleXmlCell id="84" xr6:uid="{5E2CBB31-B527-48FB-8024-B578EE8AB383}" r="F40" connectionId="0">
    <xmlCellPr id="1" xr6:uid="{C787D219-57EE-403D-A565-BFCCC8CFC72C}" uniqueName="zast_dat_nar">
      <xmlPr mapId="7" xpath="/Pisemnost/DPFDP6/VetaP/@zast_dat_nar" xmlDataType="string"/>
    </xmlCellPr>
  </singleXmlCell>
  <singleXmlCell id="85" xr6:uid="{F66CB4E4-324C-4081-B4CF-AB33A041BF65}" r="F12" connectionId="0">
    <xmlCellPr id="1" xr6:uid="{F769CF43-C90D-44A0-A634-DD5901C45D12}" uniqueName="k_stat">
      <xmlPr mapId="7" xpath="/Pisemnost/DPFDP6/VetaP/@k_stat" xmlDataType="string"/>
    </xmlCellPr>
  </singleXmlCell>
  <singleXmlCell id="86" xr6:uid="{6BF44CA8-616D-4334-9EC7-2BDC30F61513}" r="F42" connectionId="0">
    <xmlCellPr id="1" xr6:uid="{45041C67-76AE-4B7A-80DD-822762EBA507}" uniqueName="zast_ic">
      <xmlPr mapId="7" xpath="/Pisemnost/DPFDP6/VetaP/@zast_ic" xmlDataType="string"/>
    </xmlCellPr>
  </singleXmlCell>
  <singleXmlCell id="87" xr6:uid="{CED25065-C59D-4CD3-8B09-0425EDCC9E88}" r="F43" connectionId="0">
    <xmlCellPr id="1" xr6:uid="{7CB834FD-DB75-46CA-915D-5ED56A28A605}" uniqueName="zast_jmeno">
      <xmlPr mapId="7" xpath="/Pisemnost/DPFDP6/VetaP/@zast_jmeno" xmlDataType="string"/>
    </xmlCellPr>
  </singleXmlCell>
  <singleXmlCell id="88" xr6:uid="{9608A623-3393-4629-A00E-FF4070FF77ED}" r="F44" connectionId="0">
    <xmlCellPr id="1" xr6:uid="{D2A6F781-4B8F-4D89-9010-37045120BE78}" uniqueName="zast_kod">
      <xmlPr mapId="7" xpath="/Pisemnost/DPFDP6/VetaP/@zast_kod" xmlDataType="string"/>
    </xmlCellPr>
  </singleXmlCell>
  <singleXmlCell id="89" xr6:uid="{CD56B914-7166-4D66-8065-0271C10445B2}" r="F15" connectionId="0">
    <xmlCellPr id="1" xr6:uid="{EECCFA7E-3711-4D9B-A231-FC9E6F85DFC3}" uniqueName="krok_c_pop">
      <xmlPr mapId="7" xpath="/Pisemnost/DPFDP6/VetaP/@krok_c_pop" xmlDataType="decimal"/>
    </xmlCellPr>
  </singleXmlCell>
  <singleXmlCell id="90" xr6:uid="{7E654B62-61B1-4975-A8C6-64EF15632C2E}" r="F25" connectionId="0">
    <xmlCellPr id="1" xr6:uid="{502D77A0-22B8-4A06-A95E-E25E105023B8}" uniqueName="rod_c">
      <xmlPr mapId="7" xpath="/Pisemnost/DPFDP6/VetaP/@rod_c" xmlDataType="string"/>
    </xmlCellPr>
  </singleXmlCell>
  <singleXmlCell id="91" xr6:uid="{9BE24488-9C21-4056-924A-E0401447225F}" r="F5" connectionId="0">
    <xmlCellPr id="1" xr6:uid="{74E0A64F-F2B4-46F0-A22D-D476D18A73CF}" uniqueName="c_pasu">
      <xmlPr mapId="7" xpath="/Pisemnost/DPFDP6/VetaP/@c_pasu" xmlDataType="string"/>
    </xmlCellPr>
  </singleXmlCell>
  <singleXmlCell id="92" xr6:uid="{06B8EFB8-7CCD-4962-9C23-72F58E0FB2A0}" r="F29" connectionId="0">
    <xmlCellPr id="1" xr6:uid="{A3566EFB-B763-479E-8557-129AB49E3685}" uniqueName="titul">
      <xmlPr mapId="7" xpath="/Pisemnost/DPFDP6/VetaP/@titul" xmlDataType="string"/>
    </xmlCellPr>
  </singleXmlCell>
  <singleXmlCell id="93" xr6:uid="{E715808C-BF3F-4D80-8D4E-AB2B40B1D21D}" r="F26" connectionId="0">
    <xmlCellPr id="1" xr6:uid="{45175197-0DD8-4668-86F8-C387D34EBB71}" uniqueName="rodnepr">
      <xmlPr mapId="7" xpath="/Pisemnost/DPFDP6/VetaP/@rodnepr" xmlDataType="string"/>
    </xmlCellPr>
  </singleXmlCell>
  <singleXmlCell id="94" xr6:uid="{F231E3AE-DB34-4D32-AA35-34BC5050BD83}" r="F17" connectionId="0">
    <xmlCellPr id="1" xr6:uid="{0E54C7AF-03EF-4285-AC34-CB607C629D92}" uniqueName="krok_psc">
      <xmlPr mapId="7" xpath="/Pisemnost/DPFDP6/VetaP/@krok_psc" xmlDataType="string"/>
    </xmlCellPr>
  </singleXmlCell>
  <singleXmlCell id="95" xr6:uid="{4C6F592D-F33B-4406-8983-CADA2DF90505}" r="F6" connectionId="0">
    <xmlCellPr id="1" xr6:uid="{F5B89872-FDD9-4C0E-8761-A879FF74A433}" uniqueName="c_pop">
      <xmlPr mapId="7" xpath="/Pisemnost/DPFDP6/VetaP/@c_pop" xmlDataType="decimal"/>
    </xmlCellPr>
  </singleXmlCell>
  <singleXmlCell id="96" xr6:uid="{F255D5D7-4F91-45C1-8CDC-4C9FF66A8438}" r="F38" connectionId="0">
    <xmlCellPr id="1" xr6:uid="{E9B849EA-95DD-4843-ABE8-4A6B5BB3D425}" uniqueName="z_psc">
      <xmlPr mapId="7" xpath="/Pisemnost/DPFDP6/VetaP/@z_psc" xmlDataType="string"/>
    </xmlCellPr>
  </singleXmlCell>
  <singleXmlCell id="97" xr6:uid="{35C4E1FD-FF48-43F7-9879-99BC784F75EA}" r="F46" connectionId="0">
    <xmlCellPr id="1" xr6:uid="{5AC108A2-C4DE-489B-813A-4F475A49FD3E}" uniqueName="zast_prijmeni">
      <xmlPr mapId="7" xpath="/Pisemnost/DPFDP6/VetaP/@zast_prijmeni" xmlDataType="string"/>
    </xmlCellPr>
  </singleXmlCell>
  <singleXmlCell id="98" xr6:uid="{00896167-17C5-4E13-994E-7EB1EE875767}" r="F3" connectionId="0">
    <xmlCellPr id="1" xr6:uid="{7057B6EA-02A2-4A4D-8D1E-2B08210303B7}" uniqueName="c_obce">
      <xmlPr mapId="7" xpath="/Pisemnost/DPFDP6/VetaP/@c_obce" xmlDataType="decimal"/>
    </xmlCellPr>
  </singleXmlCell>
  <singleXmlCell id="99" xr6:uid="{5391B891-91A6-4C98-930D-BDF8F821705B}" r="F4" connectionId="0">
    <xmlCellPr id="1" xr6:uid="{E7A21922-02F1-4B60-BCC3-00EE8A8FD7C3}" uniqueName="c_orient">
      <xmlPr mapId="7" xpath="/Pisemnost/DPFDP6/VetaP/@c_orient" xmlDataType="string"/>
    </xmlCellPr>
  </singleXmlCell>
  <singleXmlCell id="100" xr6:uid="{9FE9A9F7-D48C-4CAF-AD90-4E9901BAE6D6}" r="F22" connectionId="0">
    <xmlCellPr id="1" xr6:uid="{53AB2A68-49E3-44E4-B1F8-53706FCDBB5D}" uniqueName="opr_prijmeni">
      <xmlPr mapId="7" xpath="/Pisemnost/DPFDP6/VetaP/@opr_prijmeni" xmlDataType="string"/>
    </xmlCellPr>
  </singleXmlCell>
  <singleXmlCell id="101" xr6:uid="{92CC444D-E3EC-43DE-98F0-74FA082506C9}" r="F32" connectionId="0">
    <xmlCellPr id="1" xr6:uid="{FEEA0170-B164-46A5-83D7-25F7EF926AA1}" uniqueName="z_c_obce">
      <xmlPr mapId="7" xpath="/Pisemnost/DPFDP6/VetaP/@z_c_obce" xmlDataType="decimal"/>
    </xmlCellPr>
  </singleXmlCell>
  <singleXmlCell id="102" xr6:uid="{4975AAD5-EC6A-4CFD-8CF6-EF768EB9602A}" r="F8" connectionId="0">
    <xmlCellPr id="1" xr6:uid="{BFA68BA6-842E-4E8D-B43A-DA5FD2463902}" uniqueName="c_telef">
      <xmlPr mapId="7" xpath="/Pisemnost/DPFDP6/VetaP/@c_telef" xmlDataType="string"/>
    </xmlCellPr>
  </singleXmlCell>
  <singleXmlCell id="103" xr6:uid="{E92AFA78-3734-4A08-B2E9-425DD0E7395D}" r="F37" connectionId="0">
    <xmlCellPr id="1" xr6:uid="{551293B7-B83E-4885-8BBF-D7F9AEB08146}" uniqueName="z_naz_obce">
      <xmlPr mapId="7" xpath="/Pisemnost/DPFDP6/VetaP/@z_naz_obce" xmlDataType="string"/>
    </xmlCellPr>
  </singleXmlCell>
  <singleXmlCell id="104" xr6:uid="{DB6A1E67-1324-4F39-AE21-7637C565DDD6}" r="F16" connectionId="0">
    <xmlCellPr id="1" xr6:uid="{342D389A-A419-41CF-97FB-0CE020D855BC}" uniqueName="krok_naz_obce">
      <xmlPr mapId="7" xpath="/Pisemnost/DPFDP6/VetaP/@krok_naz_obce" xmlDataType="string"/>
    </xmlCellPr>
  </singleXmlCell>
  <singleXmlCell id="105" xr6:uid="{40EDAB24-75D3-417A-AA44-423E1FC1A4F7}" r="F7" connectionId="0">
    <xmlCellPr id="1" xr6:uid="{8FFFC9CF-B9C3-4FAC-9076-32EC749454DF}" uniqueName="c_pracufo">
      <xmlPr mapId="7" xpath="/Pisemnost/DPFDP6/VetaP/@c_pracufo" xmlDataType="decimal"/>
    </xmlCellPr>
  </singleXmlCell>
  <singleXmlCell id="106" xr6:uid="{53FEBB13-8D61-4202-AD04-A354C1C7302A}" r="F23" connectionId="0">
    <xmlCellPr id="1" xr6:uid="{B4CF7E3D-410B-45C7-8334-065A38F0C14F}" uniqueName="prijmeni">
      <xmlPr mapId="7" xpath="/Pisemnost/DPFDP6/VetaP/@prijmeni" xmlDataType="string"/>
    </xmlCellPr>
  </singleXmlCell>
  <singleXmlCell id="107" xr6:uid="{4827414F-1E33-41DB-BF7C-E4D599DD6BF7}" r="F35" connectionId="0">
    <xmlCellPr id="1" xr6:uid="{BFD23867-8D26-4FD3-A4F8-1BA99C5E7489}" uniqueName="z_c_telef">
      <xmlPr mapId="7" xpath="/Pisemnost/DPFDP6/VetaP/@z_c_telef" xmlDataType="string"/>
    </xmlCellPr>
  </singleXmlCell>
  <singleXmlCell id="108" xr6:uid="{B22F95B7-C718-440A-8970-90B39C0DDEE0}" r="F41" connectionId="0">
    <xmlCellPr id="1" xr6:uid="{A0DDD77C-7A80-4EE6-AB23-B60CE2FC1D27}" uniqueName="zast_ev_cislo">
      <xmlPr mapId="7" xpath="/Pisemnost/DPFDP6/VetaP/@zast_ev_cislo" xmlDataType="string"/>
    </xmlCellPr>
  </singleXmlCell>
  <singleXmlCell id="109" xr6:uid="{5DAB7BC7-A886-4A97-8F27-93C4C16CA000}" r="F45" connectionId="0">
    <xmlCellPr id="1" xr6:uid="{E8B84850-9E49-42D0-AA55-957FE3517C7E}" uniqueName="zast_nazev">
      <xmlPr mapId="7" xpath="/Pisemnost/DPFDP6/VetaP/@zast_nazev" xmlDataType="string"/>
    </xmlCellPr>
  </singleXmlCell>
  <singleXmlCell id="110" xr6:uid="{506BF588-B730-4B08-AC81-D50189166125}" r="F34" connectionId="0">
    <xmlCellPr id="1" xr6:uid="{9E7F8917-81F1-4A74-A339-8BFC5ABAF8BF}" uniqueName="z_c_pop">
      <xmlPr mapId="7" xpath="/Pisemnost/DPFDP6/VetaP/@z_c_pop" xmlDataType="decimal"/>
    </xmlCellPr>
  </singleXmlCell>
  <singleXmlCell id="111" xr6:uid="{2BF2B23E-D907-4FF1-9D82-60D047350592}" r="F21" connectionId="0">
    <xmlCellPr id="1" xr6:uid="{68A6CCFC-3D4E-4418-A572-953F3E0FD793}" uniqueName="opr_postaveni">
      <xmlPr mapId="7" xpath="/Pisemnost/DPFDP6/VetaP/@opr_postaveni" xmlDataType="string"/>
    </xmlCellPr>
  </singleXmlCell>
  <singleXmlCell id="112" xr6:uid="{D015CC90-34B6-4BEF-9EE1-C77614A7308C}" r="F28" connectionId="0">
    <xmlCellPr id="1" xr6:uid="{A3B04677-D3F9-4687-B9B9-766DFB3769D0}" uniqueName="stat">
      <xmlPr mapId="7" xpath="/Pisemnost/DPFDP6/VetaP/@stat" xmlDataType="string"/>
    </xmlCellPr>
  </singleXmlCell>
  <singleXmlCell id="113" xr6:uid="{D4080A70-8090-4241-8BB6-5C913B97C10A}" r="F9" connectionId="0">
    <xmlCellPr id="1" xr6:uid="{C95BB6C4-9422-427E-8F4F-139DDAF40927}" uniqueName="dic">
      <xmlPr mapId="7" xpath="/Pisemnost/DPFDP6/VetaP/@dic" xmlDataType="string"/>
    </xmlCellPr>
  </singleXmlCell>
  <singleXmlCell id="114" xr6:uid="{DE250484-4691-4AED-A1F0-785E9FA0876C}" r="F18" connectionId="0">
    <xmlCellPr id="1" xr6:uid="{124515AD-A8CA-49CC-9E80-9844E53F4083}" uniqueName="krok_ulice">
      <xmlPr mapId="7" xpath="/Pisemnost/DPFDP6/VetaP/@krok_ulice" xmlDataType="string"/>
    </xmlCellPr>
  </singleXmlCell>
  <singleXmlCell id="115" xr6:uid="{C9E18A6A-B5A7-430A-9433-33B12C17836D}" r="F47" connectionId="0">
    <xmlCellPr id="1" xr6:uid="{A6FA81D1-EBF5-47F1-984F-0B72D2734236}" uniqueName="zast_typ">
      <xmlPr mapId="7" xpath="/Pisemnost/DPFDP6/VetaP/@zast_typ" xmlDataType="string"/>
    </xmlCellPr>
  </singleXmlCell>
  <singleXmlCell id="116" xr6:uid="{413A4CB5-7A61-4595-BFC9-14DCE8C9A799}" r="F27" connectionId="0">
    <xmlCellPr id="1" xr6:uid="{F068464F-C5D1-4707-98A6-30F430DAC46B}" uniqueName="st_prislus">
      <xmlPr mapId="7" xpath="/Pisemnost/DPFDP6/VetaP/@st_prislus" xmlDataType="string"/>
    </xmlCellPr>
  </singleXmlCell>
  <singleXmlCell id="117" xr6:uid="{75AEF3AE-563A-4D6C-8E85-7C75329DE0F4}" r="F19" connectionId="0">
    <xmlCellPr id="1" xr6:uid="{978C199D-B336-46B4-963D-D219DE231381}" uniqueName="naz_obce">
      <xmlPr mapId="7" xpath="/Pisemnost/DPFDP6/VetaP/@naz_obce" xmlDataType="string"/>
    </xmlCellPr>
  </singleXmlCell>
  <singleXmlCell id="118" xr6:uid="{9981CC96-B212-4557-9E42-9D1273D9FD3C}" r="F33" connectionId="0">
    <xmlCellPr id="1" xr6:uid="{BAE6B3B6-BA20-4496-83F0-B78E4AD05167}" uniqueName="z_c_orient">
      <xmlPr mapId="7" xpath="/Pisemnost/DPFDP6/VetaP/@z_c_orient" xmlDataType="string"/>
    </xmlCellPr>
  </singleXmlCell>
  <singleXmlCell id="119" xr6:uid="{21FAF3A4-BCF8-4505-AA6D-2E4A26FC431E}" r="F14" connectionId="0">
    <xmlCellPr id="1" xr6:uid="{79D4DFE2-93A6-4856-8AAC-6EA6C10310DD}" uniqueName="krok_c_orient">
      <xmlPr mapId="7" xpath="/Pisemnost/DPFDP6/VetaP/@krok_c_orient" xmlDataType="string"/>
    </xmlCellPr>
  </singleXmlCell>
  <singleXmlCell id="120" xr6:uid="{74C0B878-B67D-46BE-B4C5-392992B7AB0D}" r="F11" connectionId="0">
    <xmlCellPr id="1" xr6:uid="{25AEE549-A777-4C7F-92AB-C58F55BBC147}" uniqueName="jmeno">
      <xmlPr mapId="7" xpath="/Pisemnost/DPFDP6/VetaP/@jmeno" xmlDataType="string"/>
    </xmlCellPr>
  </singleXmlCell>
  <singleXmlCell id="121" xr6:uid="{1B64B6FB-DAE9-4EAB-A9B3-1647F65E8C73}" r="J2" connectionId="0">
    <xmlCellPr id="1" xr6:uid="{55F1FC37-58E3-4704-90B2-EBD09D7B5920}" uniqueName="celk_sl4">
      <xmlPr mapId="7" xpath="/Pisemnost/DPFDP6/VetaO/@celk_sl4" xmlDataType="decimal"/>
    </xmlCellPr>
  </singleXmlCell>
  <singleXmlCell id="122" xr6:uid="{2126CF71-58BD-404B-A366-295F602DAED9}" r="J3" connectionId="0">
    <xmlCellPr id="1" xr6:uid="{0077133E-C80A-4D3B-98EC-958634D454C2}" uniqueName="celk_sl5">
      <xmlPr mapId="7" xpath="/Pisemnost/DPFDP6/VetaO/@celk_sl5" xmlDataType="decimal"/>
    </xmlCellPr>
  </singleXmlCell>
  <singleXmlCell id="123" xr6:uid="{2BC4EB08-D11C-48A7-A485-704C0034E6AA}" r="J4" connectionId="0">
    <xmlCellPr id="1" xr6:uid="{A5766DF0-2CB3-4504-A9FD-AB927A6B79DB}" uniqueName="kc_dan_zah">
      <xmlPr mapId="7" xpath="/Pisemnost/DPFDP6/VetaO/@kc_dan_zah" xmlDataType="decimal"/>
    </xmlCellPr>
  </singleXmlCell>
  <singleXmlCell id="124" xr6:uid="{63D94CB6-363B-4A9C-98BB-E0BCE644FC69}" r="J7" connectionId="0">
    <xmlCellPr id="1" xr6:uid="{FF53549F-289B-4CFA-8AA8-54363D2295CD}" uniqueName="kc_prij6">
      <xmlPr mapId="7" xpath="/Pisemnost/DPFDP6/VetaO/@kc_prij6" xmlDataType="decimal"/>
    </xmlCellPr>
  </singleXmlCell>
  <singleXmlCell id="125" xr6:uid="{E8389613-6547-4A48-9EB1-C47D515CBBD3}" r="J9" connectionId="0">
    <xmlCellPr id="1" xr6:uid="{64AADCA8-E8DD-431E-B9EB-BBC666FB8325}" uniqueName="kc_prij6zahr">
      <xmlPr mapId="7" xpath="/Pisemnost/DPFDP6/VetaO/@kc_prij6zahr" xmlDataType="decimal"/>
    </xmlCellPr>
  </singleXmlCell>
  <singleXmlCell id="126" xr6:uid="{CCA4B31E-B773-44CF-ACD7-DA6163CA7608}" r="J10" connectionId="0">
    <xmlCellPr id="1" xr6:uid="{43C13B36-417E-489F-B6C4-3C99724D81CC}" uniqueName="kc_uhrn">
      <xmlPr mapId="7" xpath="/Pisemnost/DPFDP6/VetaO/@kc_uhrn" xmlDataType="decimal"/>
    </xmlCellPr>
  </singleXmlCell>
  <singleXmlCell id="127" xr6:uid="{F2C25428-63E5-42CF-8F32-5C2B4A384EE0}" r="J13" connectionId="0">
    <xmlCellPr id="1" xr6:uid="{B4EF6490-E2AE-4C9C-BEFB-7C71725C9BBE}" uniqueName="kc_zakldan">
      <xmlPr mapId="7" xpath="/Pisemnost/DPFDP6/VetaO/@kc_zakldan" xmlDataType="decimal"/>
    </xmlCellPr>
  </singleXmlCell>
  <singleXmlCell id="128" xr6:uid="{210F313A-60D2-4F0B-A0FB-DC9AAA655DCE}" r="J14" connectionId="0">
    <xmlCellPr id="1" xr6:uid="{C25B8BF9-0512-45B9-8E3B-D250A3DCA1D5}" uniqueName="kc_zakldan23">
      <xmlPr mapId="7" xpath="/Pisemnost/DPFDP6/VetaO/@kc_zakldan23" xmlDataType="decimal"/>
    </xmlCellPr>
  </singleXmlCell>
  <singleXmlCell id="129" xr6:uid="{5C8D1D59-20FE-4C1D-A23A-AAF8E5EEF34E}" r="J15" connectionId="0">
    <xmlCellPr id="1" xr6:uid="{EB051463-D171-43FB-92D2-8C47B5F18052}" uniqueName="kc_zakldan8">
      <xmlPr mapId="7" xpath="/Pisemnost/DPFDP6/VetaO/@kc_zakldan8" xmlDataType="decimal"/>
    </xmlCellPr>
  </singleXmlCell>
  <singleXmlCell id="130" xr6:uid="{D9D7C412-ED43-40C0-998A-36D908F56B51}" r="J16" connectionId="0">
    <xmlCellPr id="1" xr6:uid="{FD99F506-93D6-4F30-B2BE-76799A837896}" uniqueName="kc_zd10">
      <xmlPr mapId="7" xpath="/Pisemnost/DPFDP6/VetaO/@kc_zd10" xmlDataType="decimal"/>
    </xmlCellPr>
  </singleXmlCell>
  <singleXmlCell id="131" xr6:uid="{7F4875F1-5FD8-489E-A192-474E1D1F4BBE}" r="J17" connectionId="0">
    <xmlCellPr id="1" xr6:uid="{CCC39816-1349-4415-AD7E-D36AA116B370}" uniqueName="kc_zd6">
      <xmlPr mapId="7" xpath="/Pisemnost/DPFDP6/VetaO/@kc_zd6" xmlDataType="decimal"/>
    </xmlCellPr>
  </singleXmlCell>
  <singleXmlCell id="132" xr6:uid="{8BE5DACD-56AC-4011-A29D-74669A96B55E}" r="J18" connectionId="0">
    <xmlCellPr id="1" xr6:uid="{62CE5A15-A602-4620-8273-882408FAC028}" uniqueName="kc_zd6p">
      <xmlPr mapId="7" xpath="/Pisemnost/DPFDP6/VetaO/@kc_zd6p" xmlDataType="decimal"/>
    </xmlCellPr>
  </singleXmlCell>
  <singleXmlCell id="133" xr6:uid="{86547CAE-5AB1-47F6-9CD2-921BB4D8EC80}" r="J19" connectionId="0">
    <xmlCellPr id="1" xr6:uid="{ED998DDF-027D-4E96-9838-1003D17A57C3}" uniqueName="kc_zd7">
      <xmlPr mapId="7" xpath="/Pisemnost/DPFDP6/VetaO/@kc_zd7" xmlDataType="decimal"/>
    </xmlCellPr>
  </singleXmlCell>
  <singleXmlCell id="134" xr6:uid="{CDF155F9-2057-4AA3-B892-B76BFFD7222D}" r="J20" connectionId="0">
    <xmlCellPr id="1" xr6:uid="{00FB5D79-B498-42D3-8549-ABC7EB715F1F}" uniqueName="kc_zd9">
      <xmlPr mapId="7" xpath="/Pisemnost/DPFDP6/VetaO/@kc_zd9" xmlDataType="decimal"/>
    </xmlCellPr>
  </singleXmlCell>
  <singleXmlCell id="135" xr6:uid="{C9AF75DC-D1FF-4D63-8D67-2E3ECF4EFED4}" r="J21" connectionId="0">
    <xmlCellPr id="1" xr6:uid="{C10C2027-D4AF-4F36-85C5-2D9982BE1C01}" uniqueName="kc_ztrata2">
      <xmlPr mapId="7" xpath="/Pisemnost/DPFDP6/VetaO/@kc_ztrata2" xmlDataType="decimal"/>
    </xmlCellPr>
  </singleXmlCell>
  <singleXmlCell id="136" xr6:uid="{BC283A91-B6F7-4DF8-9D9F-C252DC22ACC5}" r="N2" connectionId="0">
    <xmlCellPr id="1" xr6:uid="{5B594B4C-C1FF-4CF2-BA28-7263BD73F639}" uniqueName="da_dan16">
      <xmlPr mapId="7" xpath="/Pisemnost/DPFDP6/VetaS/@da_dan16" xmlDataType="decimal"/>
    </xmlCellPr>
  </singleXmlCell>
  <singleXmlCell id="137" xr6:uid="{02E41943-D44E-458C-AFA9-46843A52BD0B}" r="N3" connectionId="0">
    <xmlCellPr id="1" xr6:uid="{F0F1FD76-F883-4E34-93BE-85EBCE963010}" uniqueName="kc_dalsivzd">
      <xmlPr mapId="7" xpath="/Pisemnost/DPFDP6/VetaS/@kc_dalsivzd" xmlDataType="decimal"/>
    </xmlCellPr>
  </singleXmlCell>
  <singleXmlCell id="138" xr6:uid="{18FFD113-909D-4085-9E73-359CB9D05130}" r="N4" connectionId="0">
    <xmlCellPr id="1" xr6:uid="{51AAA18B-38B2-4642-BDBF-FCCB8D770BD1}" uniqueName="kc_odcelk">
      <xmlPr mapId="7" xpath="/Pisemnost/DPFDP6/VetaS/@kc_odcelk" xmlDataType="decimal"/>
    </xmlCellPr>
  </singleXmlCell>
  <singleXmlCell id="139" xr6:uid="{6E43AEB3-99CF-4093-BB2E-4027D173B9BC}" r="N5" connectionId="0">
    <xmlCellPr id="1" xr6:uid="{62A4F10A-158B-4006-B38C-DC43DB6799D6}" uniqueName="kc_op15_12">
      <xmlPr mapId="7" xpath="/Pisemnost/DPFDP6/VetaS/@kc_op15_12" xmlDataType="decimal"/>
    </xmlCellPr>
  </singleXmlCell>
  <singleXmlCell id="140" xr6:uid="{79D74D7E-2403-477C-8011-F10DB1A4B04B}" r="N6" connectionId="0">
    <xmlCellPr id="1" xr6:uid="{388A2D77-2469-429A-A30E-FEAA434751EF}" uniqueName="kc_op15_13">
      <xmlPr mapId="7" xpath="/Pisemnost/DPFDP6/VetaS/@kc_op15_13" xmlDataType="decimal"/>
    </xmlCellPr>
  </singleXmlCell>
  <singleXmlCell id="141" xr6:uid="{5F589A8F-C29C-4C9B-B1B2-EA1569BC7468}" r="N7" connectionId="0">
    <xmlCellPr id="1" xr6:uid="{72CF600B-13D3-4694-9BB0-D1A0B5F6DB88}" uniqueName="kc_op15_14">
      <xmlPr mapId="7" xpath="/Pisemnost/DPFDP6/VetaS/@kc_op15_14" xmlDataType="decimal"/>
    </xmlCellPr>
  </singleXmlCell>
  <singleXmlCell id="142" xr6:uid="{725677F4-F87E-4D56-BC27-DF1A96B0F2F7}" r="N8" connectionId="0">
    <xmlCellPr id="1" xr6:uid="{2C513919-B78C-4847-8F2D-69902CB1EDBF}" uniqueName="kc_op15_8">
      <xmlPr mapId="7" xpath="/Pisemnost/DPFDP6/VetaS/@kc_op15_8" xmlDataType="decimal"/>
    </xmlCellPr>
  </singleXmlCell>
  <singleXmlCell id="143" xr6:uid="{1A699A87-5E07-45DE-BBFD-D761410A5179}" r="N9" connectionId="0">
    <xmlCellPr id="1" xr6:uid="{A59AC2DC-8702-4F36-A3CA-922059603915}" uniqueName="kc_op28_5">
      <xmlPr mapId="7" xpath="/Pisemnost/DPFDP6/VetaS/@kc_op28_5" xmlDataType="decimal"/>
    </xmlCellPr>
  </singleXmlCell>
  <singleXmlCell id="144" xr6:uid="{4FCC297E-1471-459B-B821-4508BC516123}" r="N10" connectionId="0">
    <xmlCellPr id="1" xr6:uid="{6BBDE4F5-1766-402E-AEA0-5CF52A60C1B1}" uniqueName="kc_op34_4">
      <xmlPr mapId="7" xpath="/Pisemnost/DPFDP6/VetaS/@kc_op34_4" xmlDataType="decimal"/>
    </xmlCellPr>
  </singleXmlCell>
  <singleXmlCell id="145" xr6:uid="{2B696E32-DB97-4E4B-908E-B341AA06D5A5}" r="N13" connectionId="0">
    <xmlCellPr id="1" xr6:uid="{2B38816C-59B2-4A0B-81F1-60F1FB9ADEB0}" uniqueName="kc_zdsniz">
      <xmlPr mapId="7" xpath="/Pisemnost/DPFDP6/VetaS/@kc_zdsniz" xmlDataType="decimal"/>
    </xmlCellPr>
  </singleXmlCell>
  <singleXmlCell id="146" xr6:uid="{E43CDAEE-A7A0-4693-ABE1-2276C887D073}" r="N14" connectionId="0">
    <xmlCellPr id="1" xr6:uid="{939BF6E2-1674-4A21-92C6-1C3908625129}" uniqueName="kc_zdzaokr">
      <xmlPr mapId="7" xpath="/Pisemnost/DPFDP6/VetaS/@kc_zdzaokr" xmlDataType="decimal"/>
    </xmlCellPr>
  </singleXmlCell>
  <singleXmlCell id="147" xr6:uid="{DFE8284A-AA28-4CDD-B6D4-DB02A1C7BBD5}" r="N16" connectionId="0">
    <xmlCellPr id="1" xr6:uid="{2EBCC09A-3E1B-4C15-91AF-5A14D1734045}" uniqueName="m_uroky">
      <xmlPr mapId="7" xpath="/Pisemnost/DPFDP6/VetaS/@m_uroky" xmlDataType="decimal"/>
    </xmlCellPr>
  </singleXmlCell>
  <singleXmlCell id="148" xr6:uid="{B10D4C37-055B-4D04-B152-03EAE4D7243A}" r="N12" connectionId="0">
    <xmlCellPr id="1" xr6:uid="{D492F7D8-60F2-4095-8035-00DF178E16B4}" uniqueName="kc_podvzdel">
      <xmlPr mapId="7" xpath="/Pisemnost/DPFDP6/VetaS/@kc_podvzdel" xmlDataType="decimal"/>
    </xmlCellPr>
  </singleXmlCell>
  <singleXmlCell id="149" xr6:uid="{F16B55E5-59DA-47CD-AE0D-3E0F4928C626}" r="J31" connectionId="0">
    <xmlCellPr id="1" xr6:uid="{C65FD5E0-4669-4788-8E46-DF6B88F6112A}" uniqueName="dal_prilohy">
      <xmlPr mapId="7" xpath="/Pisemnost/DPFDP6/VetaB/@dal_prilohy" xmlDataType="decimal"/>
    </xmlCellPr>
  </singleXmlCell>
  <singleXmlCell id="150" xr6:uid="{F0A4CCC7-4877-4311-984D-94282BD7FD82}" r="J32" connectionId="0">
    <xmlCellPr id="1" xr6:uid="{B379FA0E-C75E-40E7-BB13-62698A5D46A8}" uniqueName="doklad_dar">
      <xmlPr mapId="7" xpath="/Pisemnost/DPFDP6/VetaB/@doklad_dar" xmlDataType="decimal"/>
    </xmlCellPr>
  </singleXmlCell>
  <singleXmlCell id="151" xr6:uid="{CB0ADDCD-5106-4753-AB5E-14D8DBF3022F}" r="J33" connectionId="0">
    <xmlCellPr id="1" xr6:uid="{9D944DFE-E48E-4D9B-997D-E8C142D69A9F}" uniqueName="duvody_dodap">
      <xmlPr mapId="7" xpath="/Pisemnost/DPFDP6/VetaB/@duvody_dodap" xmlDataType="decimal"/>
    </xmlCellPr>
  </singleXmlCell>
  <singleXmlCell id="152" xr6:uid="{70B7BEA6-D6E7-4E09-951A-9A32A3E8896D}" r="J35" connectionId="0">
    <xmlCellPr id="1" xr6:uid="{02289F14-9C89-4286-B383-11AB510CC120}" uniqueName="potv_36">
      <xmlPr mapId="7" xpath="/Pisemnost/DPFDP6/VetaB/@potv_36" xmlDataType="decimal"/>
    </xmlCellPr>
  </singleXmlCell>
  <singleXmlCell id="153" xr6:uid="{EDBCA721-3CA1-4C8D-83F4-E71421F49E17}" r="J36" connectionId="0">
    <xmlCellPr id="1" xr6:uid="{E5EF0793-5B29-42D8-A8A5-DE74DAB48E2D}" uniqueName="potv_dalsivzd">
      <xmlPr mapId="7" xpath="/Pisemnost/DPFDP6/VetaB/@potv_dalsivzd" xmlDataType="decimal"/>
    </xmlCellPr>
  </singleXmlCell>
  <singleXmlCell id="154" xr6:uid="{2C215FA3-84F0-4F71-97D9-47799BFA27FB}" r="J37" connectionId="0">
    <xmlCellPr id="1" xr6:uid="{77D94EB9-2A48-45F6-A31F-B7E306EE6C3A}" uniqueName="potv_ms">
      <xmlPr mapId="7" xpath="/Pisemnost/DPFDP6/VetaB/@potv_ms" xmlDataType="decimal"/>
    </xmlCellPr>
  </singleXmlCell>
  <singleXmlCell id="155" xr6:uid="{D3603E8E-9FD6-40F9-9776-49CBB6621CE4}" r="J38" connectionId="0">
    <xmlCellPr id="1" xr6:uid="{29A9A2F4-8ECF-4599-8256-695301A3FEFC}" uniqueName="potv_penpri">
      <xmlPr mapId="7" xpath="/Pisemnost/DPFDP6/VetaB/@potv_penpri" xmlDataType="decimal"/>
    </xmlCellPr>
  </singleXmlCell>
  <singleXmlCell id="157" xr6:uid="{AB4A1512-F35A-486F-B673-C4F5EB9E888E}" r="J40" connectionId="0">
    <xmlCellPr id="1" xr6:uid="{A15E50F4-1D20-4A12-B9F4-FBDAA709BF28}" uniqueName="potv_uver">
      <xmlPr mapId="7" xpath="/Pisemnost/DPFDP6/VetaB/@potv_uver" xmlDataType="decimal"/>
    </xmlCellPr>
  </singleXmlCell>
  <singleXmlCell id="158" xr6:uid="{0232C1DF-A2A1-42DC-97DE-513840A4B4DF}" r="J41" connectionId="0">
    <xmlCellPr id="1" xr6:uid="{BBBE9431-C176-4B33-8D87-5E77602B710E}" uniqueName="potv_zahrsd">
      <xmlPr mapId="7" xpath="/Pisemnost/DPFDP6/VetaB/@potv_zahrsd" xmlDataType="decimal"/>
    </xmlCellPr>
  </singleXmlCell>
  <singleXmlCell id="159" xr6:uid="{C4AC64D9-9EFA-45F0-B53B-4F4B345CCDCE}" r="J42" connectionId="0">
    <xmlCellPr id="1" xr6:uid="{90596EE4-BBD2-4DFE-9BC3-E8B3A33958BD}" uniqueName="potv_zam">
      <xmlPr mapId="7" xpath="/Pisemnost/DPFDP6/VetaB/@potv_zam" xmlDataType="decimal"/>
    </xmlCellPr>
  </singleXmlCell>
  <singleXmlCell id="160" xr6:uid="{3ED87169-C30A-48BA-B0AA-9178B6323700}" r="J43" connectionId="0">
    <xmlCellPr id="1" xr6:uid="{FB706B70-FFD8-4DE3-8883-46DA80409D60}" uniqueName="potv_zivpoj">
      <xmlPr mapId="7" xpath="/Pisemnost/DPFDP6/VetaB/@potv_zivpoj" xmlDataType="decimal"/>
    </xmlCellPr>
  </singleXmlCell>
  <singleXmlCell id="161" xr6:uid="{AE936268-2659-4F9F-922B-961B42A19B89}" r="J44" connectionId="0">
    <xmlCellPr id="1" xr6:uid="{7029CE13-59C4-4046-9281-267EA6D05129}" uniqueName="pril3_samlist">
      <xmlPr mapId="7" xpath="/Pisemnost/DPFDP6/VetaB/@pril3_samlist" xmlDataType="decimal"/>
    </xmlCellPr>
  </singleXmlCell>
  <singleXmlCell id="162" xr6:uid="{574FD8D2-AC22-4AAF-BBF7-1B1653B45880}" r="J45" connectionId="0">
    <xmlCellPr id="1" xr6:uid="{CC8499D8-782E-49C7-AA63-E3A8DDB908A8}" uniqueName="pril_poduv">
      <xmlPr mapId="7" xpath="/Pisemnost/DPFDP6/VetaB/@pril_poduv" xmlDataType="decimal"/>
    </xmlCellPr>
  </singleXmlCell>
  <singleXmlCell id="163" xr6:uid="{31A01D89-4436-45FC-A556-079B3A55E9AD}" r="J46" connectionId="0">
    <xmlCellPr id="1" xr6:uid="{604C32BA-D2C5-4E02-BC86-3C13CEC9CE79}" uniqueName="pril_ztraty">
      <xmlPr mapId="7" xpath="/Pisemnost/DPFDP6/VetaB/@pril_ztraty" xmlDataType="decimal"/>
    </xmlCellPr>
  </singleXmlCell>
  <singleXmlCell id="164" xr6:uid="{86923AF0-6359-4885-B658-C5377B2162CF}" r="J47" connectionId="0">
    <xmlCellPr id="1" xr6:uid="{74341BE1-2979-4F3B-A4E6-0627D4067040}" uniqueName="priloh_celk">
      <xmlPr mapId="7" xpath="/Pisemnost/DPFDP6/VetaB/@priloh_celk" xmlDataType="decimal"/>
    </xmlCellPr>
  </singleXmlCell>
  <singleXmlCell id="165" xr6:uid="{F4C80288-2FDB-4848-B962-07E4979F2376}" r="J48" connectionId="0">
    <xmlCellPr id="1" xr6:uid="{E15B2819-1463-4796-B794-474238991C8D}" uniqueName="priloha1">
      <xmlPr mapId="7" xpath="/Pisemnost/DPFDP6/VetaB/@priloha1" xmlDataType="string"/>
    </xmlCellPr>
  </singleXmlCell>
  <singleXmlCell id="166" xr6:uid="{219E5A0A-0DC3-48DE-9D77-4C8EC83838FB}" r="J49" connectionId="0">
    <xmlCellPr id="1" xr6:uid="{52AE64D3-4A1C-4FD3-A11A-5E1B4CCCB821}" uniqueName="priloha2">
      <xmlPr mapId="7" xpath="/Pisemnost/DPFDP6/VetaB/@priloha2" xmlDataType="string"/>
    </xmlCellPr>
  </singleXmlCell>
  <singleXmlCell id="167" xr6:uid="{146B5FAD-8B32-47CF-997F-7CB67F4F088F}" r="J50" connectionId="0">
    <xmlCellPr id="1" xr6:uid="{948ECEAB-930B-49CC-94ED-50B65507924C}" uniqueName="seznam">
      <xmlPr mapId="7" xpath="/Pisemnost/DPFDP6/VetaB/@seznam" xmlDataType="decimal"/>
    </xmlCellPr>
  </singleXmlCell>
  <singleXmlCell id="168" xr6:uid="{530517F5-AC12-4B5A-A2A8-06397277AD08}" r="J51" connectionId="0">
    <xmlCellPr id="1" xr6:uid="{2D892334-25E1-44D1-89CD-626B36E8BE67}" uniqueName="vklad_ku">
      <xmlPr mapId="7" xpath="/Pisemnost/DPFDP6/VetaB/@vklad_ku" xmlDataType="decimal"/>
    </xmlCellPr>
  </singleXmlCell>
  <singleXmlCell id="169" xr6:uid="{25CB378A-5CD9-47C7-AAFD-9D81E9DFC3E4}" r="J52" connectionId="0">
    <xmlCellPr id="1" xr6:uid="{197F6D64-3363-4373-9B19-A248E2F729D3}" uniqueName="potv_dazvyh">
      <xmlPr mapId="7" xpath="/Pisemnost/DPFDP6/VetaB/@potv_dazvyh" xmlDataType="decimal"/>
    </xmlCellPr>
  </singleXmlCell>
  <singleXmlCell id="171" xr6:uid="{4AA834B8-D040-4A57-AC25-CAD6809A6895}" r="J53" connectionId="0">
    <xmlCellPr id="1" xr6:uid="{7ECB4E0D-0C3C-4944-861E-D216705A408F}" uniqueName="pril_loto">
      <xmlPr mapId="7" xpath="/Pisemnost/DPFDP6/VetaB/@pril_loto" xmlDataType="decimal"/>
    </xmlCellPr>
  </singleXmlCell>
  <singleXmlCell id="172" xr6:uid="{067299D4-8ECF-434E-8D61-CD0671301F15}" r="J54" connectionId="0">
    <xmlCellPr id="1" xr6:uid="{DF64B488-2AF2-4904-974D-C5688304A6E9}" uniqueName="priloha4">
      <xmlPr mapId="7" xpath="/Pisemnost/DPFDP6/VetaB/@priloha4" xmlDataType="decimal"/>
    </xmlCellPr>
  </singleXmlCell>
  <singleXmlCell id="173" xr6:uid="{3C1692DD-6876-430D-82CF-30829257E616}" r="N31" connectionId="0">
    <xmlCellPr id="1" xr6:uid="{0AFCCAE2-8888-45FE-BEE2-0D5B609A72C4}" uniqueName="c_nace">
      <xmlPr mapId="7" xpath="/Pisemnost/DPFDP6/VetaT/@c_nace" xmlDataType="decimal"/>
    </xmlCellPr>
  </singleXmlCell>
  <singleXmlCell id="174" xr6:uid="{845245F4-247A-44E7-A637-1D7675F51B37}" r="N32" connectionId="0">
    <xmlCellPr id="1" xr6:uid="{4D565225-2F3D-4774-9C1E-9BF90E47CA5F}" uniqueName="celk_pr_prij7">
      <xmlPr mapId="7" xpath="/Pisemnost/DPFDP6/VetaT/@celk_pr_prij7" xmlDataType="decimal"/>
    </xmlCellPr>
  </singleXmlCell>
  <singleXmlCell id="175" xr6:uid="{0C7210EB-33B8-4F2F-8EC7-2ECCCB43D21D}" r="N33" connectionId="0">
    <xmlCellPr id="1" xr6:uid="{98CD8F38-8259-4139-8493-B3F069D2FFC5}" uniqueName="celk_pr_vyd7">
      <xmlPr mapId="7" xpath="/Pisemnost/DPFDP6/VetaT/@celk_pr_vyd7" xmlDataType="decimal"/>
    </xmlCellPr>
  </singleXmlCell>
  <singleXmlCell id="176" xr6:uid="{81995C24-C079-4B09-9C16-1A20B924E42B}" r="N34" connectionId="0">
    <xmlCellPr id="1" xr6:uid="{E69B1CD2-51F3-44C9-B46D-CB26D4832367}" uniqueName="d_obnocin">
      <xmlPr mapId="7" xpath="/Pisemnost/DPFDP6/VetaT/@d_obnocin" xmlDataType="string"/>
    </xmlCellPr>
  </singleXmlCell>
  <singleXmlCell id="177" xr6:uid="{F42DE616-5459-4B0B-9886-4BF97C336630}" r="N35" connectionId="0">
    <xmlCellPr id="1" xr6:uid="{20A8E9A5-5899-42E4-883F-1A2DB0DD9438}" uniqueName="d_precin">
      <xmlPr mapId="7" xpath="/Pisemnost/DPFDP6/VetaT/@d_precin" xmlDataType="string"/>
    </xmlCellPr>
  </singleXmlCell>
  <singleXmlCell id="178" xr6:uid="{61C2A24F-CF21-4DF0-BF57-BDB2E8A1EB2F}" r="N36" connectionId="0">
    <xmlCellPr id="1" xr6:uid="{B5853F15-CA13-4C91-ADA6-D4886900C2E2}" uniqueName="d_ukoncin">
      <xmlPr mapId="7" xpath="/Pisemnost/DPFDP6/VetaT/@d_ukoncin" xmlDataType="string"/>
    </xmlCellPr>
  </singleXmlCell>
  <singleXmlCell id="179" xr6:uid="{0B1F91E1-1709-4524-A283-613B8F3CC794}" r="N37" connectionId="0">
    <xmlCellPr id="1" xr6:uid="{3AC6D95F-B291-4417-ACE9-9C1C759F50C0}" uniqueName="d_zahcin">
      <xmlPr mapId="7" xpath="/Pisemnost/DPFDP6/VetaT/@d_zahcin" xmlDataType="string"/>
    </xmlCellPr>
  </singleXmlCell>
  <singleXmlCell id="180" xr6:uid="{CAE7AF6D-67FE-4EB6-9513-9C7FAB209A0F}" r="N38" connectionId="0">
    <xmlCellPr id="1" xr6:uid="{2871C8B5-F5E0-436D-AB58-152BC10B850B}" uniqueName="kc_cisobr">
      <xmlPr mapId="7" xpath="/Pisemnost/DPFDP6/VetaT/@kc_cisobr" xmlDataType="decimal"/>
    </xmlCellPr>
  </singleXmlCell>
  <singleXmlCell id="181" xr6:uid="{930B3E52-7D2D-4ECF-8AEF-94ACDD7C0C85}" r="N39" connectionId="0">
    <xmlCellPr id="1" xr6:uid="{D6185547-BEB8-4558-AAB8-579E3B8BF838}" uniqueName="kc_hosp_rozd">
      <xmlPr mapId="7" xpath="/Pisemnost/DPFDP6/VetaT/@kc_hosp_rozd" xmlDataType="decimal"/>
    </xmlCellPr>
  </singleXmlCell>
  <singleXmlCell id="182" xr6:uid="{410DBF79-81A2-44B6-AD74-E89468ADE7F0}" r="N40" connectionId="0">
    <xmlCellPr id="1" xr6:uid="{0D283EF5-1012-4389-8E7B-3255CBAD0771}" uniqueName="kc_odpcelk">
      <xmlPr mapId="7" xpath="/Pisemnost/DPFDP6/VetaT/@kc_odpcelk" xmlDataType="decimal"/>
    </xmlCellPr>
  </singleXmlCell>
  <singleXmlCell id="183" xr6:uid="{A721AD1C-DBA9-40A6-8E89-ACB33B81820D}" r="N41" connectionId="0">
    <xmlCellPr id="1" xr6:uid="{D45B2931-11BE-477D-B165-C059CE766D40}" uniqueName="kc_odpnem">
      <xmlPr mapId="7" xpath="/Pisemnost/DPFDP6/VetaT/@kc_odpnem" xmlDataType="decimal"/>
    </xmlCellPr>
  </singleXmlCell>
  <singleXmlCell id="184" xr6:uid="{D5561609-AF38-42F8-B82F-1C2DE5845700}" r="N42" connectionId="0">
    <xmlCellPr id="1" xr6:uid="{D5ED21D7-678D-46E0-8CFB-572A80B6F8D2}" uniqueName="kc_pod_komp">
      <xmlPr mapId="7" xpath="/Pisemnost/DPFDP6/VetaT/@kc_pod_komp" xmlDataType="decimal"/>
    </xmlCellPr>
  </singleXmlCell>
  <singleXmlCell id="185" xr6:uid="{D1EE99FF-F0AB-458A-B085-453432701DDA}" r="N43" connectionId="0">
    <xmlCellPr id="1" xr6:uid="{6FF9F3F3-A18E-487C-AFA7-DB468B86E9D2}" uniqueName="kc_pod_so">
      <xmlPr mapId="7" xpath="/Pisemnost/DPFDP6/VetaT/@kc_pod_so" xmlDataType="decimal"/>
    </xmlCellPr>
  </singleXmlCell>
  <singleXmlCell id="186" xr6:uid="{ED5CD6B7-C44C-4580-A187-3FC0224F2A51}" r="N44" connectionId="0">
    <xmlCellPr id="1" xr6:uid="{D1B05C20-AC4A-4B85-9852-09C81DEA05BC}" uniqueName="kc_pod_vaso">
      <xmlPr mapId="7" xpath="/Pisemnost/DPFDP6/VetaT/@kc_pod_vaso" xmlDataType="decimal"/>
    </xmlCellPr>
  </singleXmlCell>
  <singleXmlCell id="187" xr6:uid="{13BF668F-F8B8-4167-B93F-F57CFCCDDE6E}" r="N45" connectionId="0">
    <xmlCellPr id="1" xr6:uid="{49808D54-9E7C-4CF2-9C21-789ED2B3F720}" uniqueName="pr_prij7">
      <xmlPr mapId="7" xpath="/Pisemnost/DPFDP6/VetaT/@pr_prij7" xmlDataType="decimal"/>
    </xmlCellPr>
  </singleXmlCell>
  <singleXmlCell id="189" xr6:uid="{7DE4C553-B2B2-4F0F-8F89-DF7FE477C147}" r="N46" connectionId="0">
    <xmlCellPr id="1" xr6:uid="{B6436D5D-1C33-4907-8453-B94994BAEF94}" uniqueName="kc_uhsniz">
      <xmlPr mapId="7" xpath="/Pisemnost/DPFDP6/VetaT/@kc_uhsniz" xmlDataType="decimal"/>
    </xmlCellPr>
  </singleXmlCell>
  <singleXmlCell id="190" xr6:uid="{BA91CEDD-3E0F-4345-B2AD-A6167534ED87}" r="N47" connectionId="0">
    <xmlCellPr id="1" xr6:uid="{87F375F9-D977-44DA-AFC1-1F758A82CAC5}" uniqueName="kc_uhzvys">
      <xmlPr mapId="7" xpath="/Pisemnost/DPFDP6/VetaT/@kc_uhzvys" xmlDataType="decimal"/>
    </xmlCellPr>
  </singleXmlCell>
  <singleXmlCell id="191" xr6:uid="{CAF7A21F-5863-48A2-9A83-E5E6863FA535}" r="N48" connectionId="0">
    <xmlCellPr id="1" xr6:uid="{6CBBB26F-D40F-4E75-9680-591B2D45D0B0}" uniqueName="kc_vyd7">
      <xmlPr mapId="7" xpath="/Pisemnost/DPFDP6/VetaT/@kc_vyd7" xmlDataType="decimal"/>
    </xmlCellPr>
  </singleXmlCell>
  <singleXmlCell id="192" xr6:uid="{0BEEE252-C598-4779-AEAE-79D30B523FF2}" r="N49" connectionId="0">
    <xmlCellPr id="1" xr6:uid="{A094E397-27A0-484D-BB2D-367A9CF5B7CE}" uniqueName="kc_vyd_so">
      <xmlPr mapId="7" xpath="/Pisemnost/DPFDP6/VetaT/@kc_vyd_so" xmlDataType="decimal"/>
    </xmlCellPr>
  </singleXmlCell>
  <singleXmlCell id="193" xr6:uid="{8D6876A4-B498-45AF-9C9F-D40DA7BD4D4B}" r="N50" connectionId="0">
    <xmlCellPr id="1" xr6:uid="{E1E476A4-CF1D-4F2A-854A-2BBC90BD3894}" uniqueName="kc_vyd_vaso">
      <xmlPr mapId="7" xpath="/Pisemnost/DPFDP6/VetaT/@kc_vyd_vaso" xmlDataType="decimal"/>
    </xmlCellPr>
  </singleXmlCell>
  <singleXmlCell id="194" xr6:uid="{7903C576-D1DE-4D2C-9BB4-5AA195C277BA}" r="N51" connectionId="0">
    <xmlCellPr id="1" xr6:uid="{6D56CA83-6485-4570-B50E-034BD389FD9F}" uniqueName="kc_zd7p">
      <xmlPr mapId="7" xpath="/Pisemnost/DPFDP6/VetaT/@kc_zd7p" xmlDataType="decimal"/>
    </xmlCellPr>
  </singleXmlCell>
  <singleXmlCell id="195" xr6:uid="{31BFCD28-8579-4C02-9719-768BF4B44CE4}" r="N53" connectionId="0">
    <xmlCellPr id="1" xr6:uid="{BC4E73B0-ED57-4226-9644-20B07D27035A}" uniqueName="m_podnik">
      <xmlPr mapId="7" xpath="/Pisemnost/DPFDP6/VetaT/@m_podnik" xmlDataType="decimal"/>
    </xmlCellPr>
  </singleXmlCell>
  <singleXmlCell id="196" xr6:uid="{68D9A378-7471-489D-896C-0176D6B8B259}" r="N54" connectionId="0">
    <xmlCellPr id="1" xr6:uid="{3B8074DD-BF0F-4280-8A3F-D25CA8F0606B}" uniqueName="kc_prij7">
      <xmlPr mapId="7" xpath="/Pisemnost/DPFDP6/VetaT/@kc_prij7" xmlDataType="decimal"/>
    </xmlCellPr>
  </singleXmlCell>
  <singleXmlCell id="197" xr6:uid="{395DD473-6A14-472B-89BD-C0026FCA41B7}" r="N55" connectionId="0">
    <xmlCellPr id="1" xr6:uid="{505AAC0D-F384-4487-9868-FBD7F7AC25E9}" uniqueName="pr_sazba">
      <xmlPr mapId="7" xpath="/Pisemnost/DPFDP6/VetaT/@pr_sazba" xmlDataType="decimal"/>
    </xmlCellPr>
  </singleXmlCell>
  <singleXmlCell id="198" xr6:uid="{2B962F58-2A46-448F-9AA7-9AA99DF643B3}" r="N56" connectionId="0">
    <xmlCellPr id="1" xr6:uid="{8E63AEDA-1366-421C-AFEB-86D2B5CB93CB}" uniqueName="pr_vyd7">
      <xmlPr mapId="7" xpath="/Pisemnost/DPFDP6/VetaT/@pr_vyd7" xmlDataType="decimal"/>
    </xmlCellPr>
  </singleXmlCell>
  <singleXmlCell id="199" xr6:uid="{DA141274-43D1-4DCA-B559-79A4B9A93DBF}" r="N57" connectionId="0">
    <xmlCellPr id="1" xr6:uid="{D703E57C-9D75-4401-B8AD-BE0F805BC2BE}" uniqueName="uc_soust">
      <xmlPr mapId="7" xpath="/Pisemnost/DPFDP6/VetaT/@uc_soust" xmlDataType="string"/>
    </xmlCellPr>
  </singleXmlCell>
  <singleXmlCell id="200" xr6:uid="{E25D0961-161A-488C-A065-CE88322B13E6}" r="N58" connectionId="0">
    <xmlCellPr id="1" xr6:uid="{7649DAF8-1AF9-48FE-883F-ABCB99131422}" uniqueName="vyd7proc">
      <xmlPr mapId="7" xpath="/Pisemnost/DPFDP6/VetaT/@vyd7proc" xmlDataType="string"/>
    </xmlCellPr>
  </singleXmlCell>
  <singleXmlCell id="201" xr6:uid="{6B59C77C-DFDD-43F3-8BAD-02B86C6A57E3}" r="F61" connectionId="0">
    <xmlCellPr id="1" xr6:uid="{E88BD8FE-C9EC-45EC-8277-2C645F3DB805}" uniqueName="kc_dpfmz02">
      <xmlPr mapId="7" xpath="/Pisemnost/DPFDP6/VetaU/@kc_dpfmz02" xmlDataType="decimal"/>
    </xmlCellPr>
  </singleXmlCell>
  <singleXmlCell id="202" xr6:uid="{FF546628-5B2B-47E0-B677-CC023BA7CCA5}" r="F62" connectionId="0">
    <xmlCellPr id="1" xr6:uid="{0F0F836D-2E11-46A2-8804-6C0A93444D3C}" uniqueName="kc_dpfmz03">
      <xmlPr mapId="7" xpath="/Pisemnost/DPFDP6/VetaU/@kc_dpfmz03" xmlDataType="decimal"/>
    </xmlCellPr>
  </singleXmlCell>
  <singleXmlCell id="203" xr6:uid="{8025EC07-799B-42EF-B09F-EBDC788E2DD7}" r="F63" connectionId="0">
    <xmlCellPr id="1" xr6:uid="{012E7127-C24A-4082-AC51-E381DE98C602}" uniqueName="kc_dpfmz04">
      <xmlPr mapId="7" xpath="/Pisemnost/DPFDP6/VetaU/@kc_dpfmz04" xmlDataType="decimal"/>
    </xmlCellPr>
  </singleXmlCell>
  <singleXmlCell id="204" xr6:uid="{EA7290C6-1C89-4CDE-9F3D-4D987FE624E6}" r="F64" connectionId="0">
    <xmlCellPr id="1" xr6:uid="{4C9B63B5-B4E8-458C-B671-6FD0ADDE6ABC}" uniqueName="kc_dpfmz05a">
      <xmlPr mapId="7" xpath="/Pisemnost/DPFDP6/VetaU/@kc_dpfmz05a" xmlDataType="decimal"/>
    </xmlCellPr>
  </singleXmlCell>
  <singleXmlCell id="205" xr6:uid="{2973D93A-FA55-4981-A736-BAD1337966FB}" r="F65" connectionId="0">
    <xmlCellPr id="1" xr6:uid="{A3DF161A-1B7F-40CE-8450-93FE2556758B}" uniqueName="kc_dpfmz06">
      <xmlPr mapId="7" xpath="/Pisemnost/DPFDP6/VetaU/@kc_dpfmz06" xmlDataType="decimal"/>
    </xmlCellPr>
  </singleXmlCell>
  <singleXmlCell id="206" xr6:uid="{2E0899CE-3764-483E-8E08-8D55191C0BE0}" r="F66" connectionId="0">
    <xmlCellPr id="1" xr6:uid="{9F4D7EA7-9D97-4D18-8EA3-EC9F2D6FF715}" uniqueName="kc_dpfmz08">
      <xmlPr mapId="7" xpath="/Pisemnost/DPFDP6/VetaU/@kc_dpfmz08" xmlDataType="decimal"/>
    </xmlCellPr>
  </singleXmlCell>
  <singleXmlCell id="207" xr6:uid="{4F3F3BCC-F688-4866-8398-946CA46856ED}" r="F67" connectionId="0">
    <xmlCellPr id="1" xr6:uid="{4C5AE9E7-A1CC-4217-94C0-FD5E4DB0D646}" uniqueName="kc_dpfmz10">
      <xmlPr mapId="7" xpath="/Pisemnost/DPFDP6/VetaU/@kc_dpfmz10" xmlDataType="decimal"/>
    </xmlCellPr>
  </singleXmlCell>
  <singleXmlCell id="208" xr6:uid="{AA256CF9-B611-4A3F-8A6F-708B0700ADDC}" r="F68" connectionId="0">
    <xmlCellPr id="1" xr6:uid="{48A9F02C-46C9-4E34-8FD6-962EA869F13A}" uniqueName="kc_dpfmz11">
      <xmlPr mapId="7" xpath="/Pisemnost/DPFDP6/VetaU/@kc_dpfmz11" xmlDataType="decimal"/>
    </xmlCellPr>
  </singleXmlCell>
  <singleXmlCell id="209" xr6:uid="{01C95330-59E5-4C2A-B33E-B5BEF1E8C432}" r="F69" connectionId="0">
    <xmlCellPr id="1" xr6:uid="{71131EE6-203D-41D2-A063-8C34417A6EDF}" uniqueName="kc_dpfmz18">
      <xmlPr mapId="7" xpath="/Pisemnost/DPFDP6/VetaU/@kc_dpfmz18" xmlDataType="decimal"/>
    </xmlCellPr>
  </singleXmlCell>
  <singleXmlCell id="210" xr6:uid="{D26712CE-E03D-4A08-8E5E-90074D66ADCC}" r="F70" connectionId="0">
    <xmlCellPr id="1" xr6:uid="{0FCF74A8-2E2F-4182-86AB-602B7BF5C77E}" uniqueName="kc_z_dpfmz02">
      <xmlPr mapId="7" xpath="/Pisemnost/DPFDP6/VetaU/@kc_z_dpfmz02" xmlDataType="decimal"/>
    </xmlCellPr>
  </singleXmlCell>
  <singleXmlCell id="211" xr6:uid="{B963C866-C7B5-4F8D-80E0-C5D9D6EC1351}" r="F71" connectionId="0">
    <xmlCellPr id="1" xr6:uid="{77B4DAD0-149C-422B-9379-BDD23B4172F9}" uniqueName="kc_z_dpfmz03">
      <xmlPr mapId="7" xpath="/Pisemnost/DPFDP6/VetaU/@kc_z_dpfmz03" xmlDataType="decimal"/>
    </xmlCellPr>
  </singleXmlCell>
  <singleXmlCell id="212" xr6:uid="{1EEEE3FB-0D28-4E9D-AE86-50339F570F32}" r="F72" connectionId="0">
    <xmlCellPr id="1" xr6:uid="{3A62EB7A-0591-40E6-A865-C0528D5A5D52}" uniqueName="kc_z_dpfmz04">
      <xmlPr mapId="7" xpath="/Pisemnost/DPFDP6/VetaU/@kc_z_dpfmz04" xmlDataType="decimal"/>
    </xmlCellPr>
  </singleXmlCell>
  <singleXmlCell id="213" xr6:uid="{6E429DE7-DF20-4812-9AFC-D8358064D65A}" r="F73" connectionId="0">
    <xmlCellPr id="1" xr6:uid="{8FC3F8E2-D319-4912-933F-BB1B4CAA1CCB}" uniqueName="kc_z_dpfmz05a">
      <xmlPr mapId="7" xpath="/Pisemnost/DPFDP6/VetaU/@kc_z_dpfmz05a" xmlDataType="decimal"/>
    </xmlCellPr>
  </singleXmlCell>
  <singleXmlCell id="214" xr6:uid="{74D45550-F252-442A-A1EA-2583D117CD6C}" r="F74" connectionId="0">
    <xmlCellPr id="1" xr6:uid="{7E462091-12A0-444C-BFA3-EE093CBD6394}" uniqueName="kc_z_dpfmz06">
      <xmlPr mapId="7" xpath="/Pisemnost/DPFDP6/VetaU/@kc_z_dpfmz06" xmlDataType="decimal"/>
    </xmlCellPr>
  </singleXmlCell>
  <singleXmlCell id="215" xr6:uid="{C3862FB8-A99B-4EE4-B869-658FFD3D502F}" r="F75" connectionId="0">
    <xmlCellPr id="1" xr6:uid="{644A121A-5191-4575-8D82-5B9D4AAC6F0F}" uniqueName="kc_z_dpfmz08">
      <xmlPr mapId="7" xpath="/Pisemnost/DPFDP6/VetaU/@kc_z_dpfmz08" xmlDataType="decimal"/>
    </xmlCellPr>
  </singleXmlCell>
  <singleXmlCell id="216" xr6:uid="{7F00AC7A-2EBE-4388-AF7C-9CABA85D2940}" r="F76" connectionId="0">
    <xmlCellPr id="1" xr6:uid="{7023DB81-DC84-4304-8034-8C6D56F2FBC6}" uniqueName="kc_z_dpfmz10">
      <xmlPr mapId="7" xpath="/Pisemnost/DPFDP6/VetaU/@kc_z_dpfmz10" xmlDataType="decimal"/>
    </xmlCellPr>
  </singleXmlCell>
  <singleXmlCell id="217" xr6:uid="{3140831F-7C8D-4F9A-B64C-69E3FC8887DB}" r="F77" connectionId="0">
    <xmlCellPr id="1" xr6:uid="{205B0685-C35B-4B66-B283-EF192CEF7487}" uniqueName="kc_z_dpfmz11">
      <xmlPr mapId="7" xpath="/Pisemnost/DPFDP6/VetaU/@kc_z_dpfmz11" xmlDataType="decimal"/>
    </xmlCellPr>
  </singleXmlCell>
  <singleXmlCell id="219" xr6:uid="{C2733671-E925-41A4-B7DE-C3CF393F4C48}" r="J61" connectionId="0">
    <xmlCellPr id="1" xr6:uid="{BB21DA57-7863-4731-82D4-CD90BF81B713}" uniqueName="kc_par9_nem">
      <xmlPr mapId="7" xpath="/Pisemnost/DPFDP6/VetaV/@kc_par9_nem" xmlDataType="decimal"/>
    </xmlCellPr>
  </singleXmlCell>
  <singleXmlCell id="221" xr6:uid="{B8719FA4-54B5-4192-A534-29525499A9FC}" r="J62" connectionId="0">
    <xmlCellPr id="1" xr6:uid="{1562058A-D50F-44D4-92EC-B4536F217BA7}" uniqueName="kc_prij10">
      <xmlPr mapId="7" xpath="/Pisemnost/DPFDP6/VetaV/@kc_prij10" xmlDataType="decimal"/>
    </xmlCellPr>
  </singleXmlCell>
  <singleXmlCell id="222" xr6:uid="{E558231A-B9ED-475E-97DF-A8866F5115F7}" r="J63" connectionId="0">
    <xmlCellPr id="1" xr6:uid="{D57EF802-1DFE-44DF-9B3B-27938452C090}" uniqueName="kc_prij9">
      <xmlPr mapId="7" xpath="/Pisemnost/DPFDP6/VetaV/@kc_prij9" xmlDataType="decimal"/>
    </xmlCellPr>
  </singleXmlCell>
  <singleXmlCell id="223" xr6:uid="{0AC441B0-E5D2-44B7-A811-95B63E008E76}" r="J64" connectionId="0">
    <xmlCellPr id="1" xr6:uid="{0FCBA8B4-625B-45D0-9051-B5E204B9033D}" uniqueName="kc_rezerv_k">
      <xmlPr mapId="7" xpath="/Pisemnost/DPFDP6/VetaV/@kc_rezerv_k" xmlDataType="decimal"/>
    </xmlCellPr>
  </singleXmlCell>
  <singleXmlCell id="224" xr6:uid="{992144C9-1456-4455-83CD-006EFE077423}" r="J65" connectionId="0">
    <xmlCellPr id="1" xr6:uid="{1D656860-55C8-4730-A5BB-C84F7DAC9E06}" uniqueName="kc_rezerv_z">
      <xmlPr mapId="7" xpath="/Pisemnost/DPFDP6/VetaV/@kc_rezerv_z" xmlDataType="decimal"/>
    </xmlCellPr>
  </singleXmlCell>
  <singleXmlCell id="225" xr6:uid="{01B789A5-FAE7-473F-949B-6A7A0F887B93}" r="J66" connectionId="0">
    <xmlCellPr id="1" xr6:uid="{9A469025-3FAB-4585-8004-945576D9D045}" uniqueName="kc_rozdil9">
      <xmlPr mapId="7" xpath="/Pisemnost/DPFDP6/VetaV/@kc_rozdil9" xmlDataType="decimal"/>
    </xmlCellPr>
  </singleXmlCell>
  <singleXmlCell id="226" xr6:uid="{321D05CD-C7CE-4E6F-A562-BD05B5AF6415}" r="J67" connectionId="0">
    <xmlCellPr id="1" xr6:uid="{1F78A019-9292-43B0-AA7D-9A4D4215D594}" uniqueName="kc_snizukon9">
      <xmlPr mapId="7" xpath="/Pisemnost/DPFDP6/VetaV/@kc_snizukon9" xmlDataType="decimal"/>
    </xmlCellPr>
  </singleXmlCell>
  <singleXmlCell id="227" xr6:uid="{2F15CE49-C22A-477A-A3F7-01986A90640A}" r="J68" connectionId="0">
    <xmlCellPr id="1" xr6:uid="{F8365DA1-D5BE-4A8B-BDBA-47219FE10687}" uniqueName="kc_vyd10">
      <xmlPr mapId="7" xpath="/Pisemnost/DPFDP6/VetaV/@kc_vyd10" xmlDataType="decimal"/>
    </xmlCellPr>
  </singleXmlCell>
  <singleXmlCell id="228" xr6:uid="{DB3A3681-9289-479E-B463-41C130999329}" r="J69" connectionId="0">
    <xmlCellPr id="1" xr6:uid="{E4A3509A-C3FF-4903-97E2-E27A6668B270}" uniqueName="kc_vyd9">
      <xmlPr mapId="7" xpath="/Pisemnost/DPFDP6/VetaV/@kc_vyd9" xmlDataType="decimal"/>
    </xmlCellPr>
  </singleXmlCell>
  <singleXmlCell id="229" xr6:uid="{B0AFA842-4CA0-4FF4-882A-370A6D9E00C4}" r="J70" connectionId="0">
    <xmlCellPr id="1" xr6:uid="{DA6A6694-C166-4A77-978C-CF8413667500}" uniqueName="kc_zd10p">
      <xmlPr mapId="7" xpath="/Pisemnost/DPFDP6/VetaV/@kc_zd10p" xmlDataType="decimal"/>
    </xmlCellPr>
  </singleXmlCell>
  <singleXmlCell id="230" xr6:uid="{87DF07BA-F27B-42BA-A267-C2130A2DCD09}" r="J71" connectionId="0">
    <xmlCellPr id="1" xr6:uid="{CB894B32-084F-4117-BECA-D848C119AB8A}" uniqueName="kc_zd9p">
      <xmlPr mapId="7" xpath="/Pisemnost/DPFDP6/VetaV/@kc_zd9p" xmlDataType="decimal"/>
    </xmlCellPr>
  </singleXmlCell>
  <singleXmlCell id="231" xr6:uid="{2C6114CA-25F5-43F0-A537-F19024449872}" r="J72" connectionId="0">
    <xmlCellPr id="1" xr6:uid="{B37E4147-F1BA-40BA-9FAE-0A197D283E4E}" uniqueName="kc_zvysukon9">
      <xmlPr mapId="7" xpath="/Pisemnost/DPFDP6/VetaV/@kc_zvysukon9" xmlDataType="decimal"/>
    </xmlCellPr>
  </singleXmlCell>
  <singleXmlCell id="232" xr6:uid="{EB22B1DD-14FD-4E11-8DCC-23B50F480032}" r="J73" connectionId="0">
    <xmlCellPr id="1" xr6:uid="{6F8C7F9D-48A8-4DDB-B769-7471E04A2A02}" uniqueName="spol_jm_manz">
      <xmlPr mapId="7" xpath="/Pisemnost/DPFDP6/VetaV/@spol_jm_manz" xmlDataType="string"/>
    </xmlCellPr>
  </singleXmlCell>
  <singleXmlCell id="233" xr6:uid="{B9DEEF22-BA30-4A62-A700-D043B5D71DE5}" r="J74" connectionId="0">
    <xmlCellPr id="1" xr6:uid="{91557236-C3DE-4DB9-BE29-0B0B3D3FFEAC}" uniqueName="uhrn_prijmy10">
      <xmlPr mapId="7" xpath="/Pisemnost/DPFDP6/VetaV/@uhrn_prijmy10" xmlDataType="decimal"/>
    </xmlCellPr>
  </singleXmlCell>
  <singleXmlCell id="234" xr6:uid="{B2BA698C-354F-49CE-A6CB-B8242354733F}" r="J75" connectionId="0">
    <xmlCellPr id="1" xr6:uid="{A7CCF404-75BA-4622-9ADE-EAE1F38B6934}" uniqueName="uhrn_rozdil10">
      <xmlPr mapId="7" xpath="/Pisemnost/DPFDP6/VetaV/@uhrn_rozdil10" xmlDataType="decimal"/>
    </xmlCellPr>
  </singleXmlCell>
  <singleXmlCell id="235" xr6:uid="{DD79E2C9-D49B-430E-816C-2F3D07553641}" r="J76" connectionId="0">
    <xmlCellPr id="1" xr6:uid="{E82387D3-7658-4FE4-8BC4-3A0B148352BD}" uniqueName="uhrn_vydaje10">
      <xmlPr mapId="7" xpath="/Pisemnost/DPFDP6/VetaV/@uhrn_vydaje10" xmlDataType="decimal"/>
    </xmlCellPr>
  </singleXmlCell>
  <singleXmlCell id="236" xr6:uid="{10819BD4-2AFD-4E51-995F-B2CB2A9F5DBB}" r="J77" connectionId="0">
    <xmlCellPr id="1" xr6:uid="{2DD86FA8-5B22-4849-8A8D-03C86DAFF869}" uniqueName="vyd9proc">
      <xmlPr mapId="7" xpath="/Pisemnost/DPFDP6/VetaV/@vyd9proc" xmlDataType="string"/>
    </xmlCellPr>
  </singleXmlCell>
  <singleXmlCell id="237" xr6:uid="{C057AC4F-2CAC-4543-8E90-3569C49CCA0B}" r="N71" connectionId="0">
    <xmlCellPr id="1" xr6:uid="{F05FA301-CC14-4B4E-9B02-7B07AC9284D2}" uniqueName="da_zazahr">
      <xmlPr mapId="7" xpath="/Pisemnost/DPFDP6/VetaW/@da_zazahr" xmlDataType="decimal"/>
    </xmlCellPr>
  </singleXmlCell>
  <singleXmlCell id="244" xr6:uid="{A543C049-B8A9-40E6-B64E-5832F6731786}" r="N72" connectionId="0">
    <xmlCellPr id="1" xr6:uid="{0DFCF843-D2EB-40CC-9532-A07B7BAB5468}" uniqueName="uhrn_neuzndan">
      <xmlPr mapId="7" xpath="/Pisemnost/DPFDP6/VetaW/@uhrn_neuzndan" xmlDataType="decimal"/>
    </xmlCellPr>
  </singleXmlCell>
  <singleXmlCell id="245" xr6:uid="{615DFC04-D972-45C2-A726-0447CC022FA1}" r="N73" connectionId="0">
    <xmlCellPr id="1" xr6:uid="{B5587B84-0865-4A58-8D4A-A164A0FBA0C8}" uniqueName="uhrn_uzndan">
      <xmlPr mapId="7" xpath="/Pisemnost/DPFDP6/VetaW/@uhrn_uzndan" xmlDataType="decimal"/>
    </xmlCellPr>
  </singleXmlCell>
  <singleXmlCell id="246" xr6:uid="{B8267CC6-38D8-4A31-B6BF-BAC58CD310F3}" r="N74" connectionId="0">
    <xmlCellPr id="1" xr6:uid="{3A9C396F-DDAA-41CB-8245-2F63C354D680}" uniqueName="kc_vynprij">
      <xmlPr mapId="7" xpath="/Pisemnost/DPFDP6/VetaW/@kc_vynprij" xmlDataType="decimal"/>
    </xmlCellPr>
  </singleXmlCell>
  <singleXmlCell id="247" xr6:uid="{A8F1DFD1-D078-44DF-B4C7-6216702EA454}" r="N75" connectionId="0">
    <xmlCellPr id="1" xr6:uid="{7856D8A3-79E6-4C61-B97D-DCDEF062F5F1}" uniqueName="kc_vynprij_6">
      <xmlPr mapId="7" xpath="/Pisemnost/DPFDP6/VetaW/@kc_vynprij_6" xmlDataType="decimal"/>
    </xmlCellPr>
  </singleXmlCell>
  <singleXmlCell id="248" xr6:uid="{6C6D06B4-8B8D-4122-B7C2-899F37759E67}" r="N76" connectionId="0">
    <xmlCellPr id="1" xr6:uid="{992465F0-DAAE-48A6-A42A-9804899DA852}" uniqueName="roz_od10">
      <xmlPr mapId="7" xpath="/Pisemnost/DPFDP6/VetaW/@roz_od10" xmlDataType="decimal"/>
    </xmlCellPr>
  </singleXmlCell>
  <singleXmlCell id="249" xr6:uid="{00FEB513-5D4A-41B3-8EBD-1A1644ADB6D5}" r="N77" connectionId="0">
    <xmlCellPr id="1" xr6:uid="{653B9DC8-39D0-47ED-B3C2-C7FF0C4E2CC5}" uniqueName="kc_zakztr">
      <xmlPr mapId="7" xpath="/Pisemnost/DPFDP6/VetaW/@kc_zakztr" xmlDataType="decimal"/>
    </xmlCellPr>
  </singleXmlCell>
  <singleXmlCell id="250" xr6:uid="{3EA95BA5-6E2B-415A-AFAE-A5D6671323AB}" r="N78" connectionId="0">
    <xmlCellPr id="1" xr6:uid="{13C1EA19-6D11-4D8E-AC6C-B15C3620AD6E}" uniqueName="proc_od10">
      <xmlPr mapId="7" xpath="/Pisemnost/DPFDP6/VetaW/@proc_od10" xmlDataType="decimal"/>
    </xmlCellPr>
  </singleXmlCell>
  <singleXmlCell id="251" xr6:uid="{87F13760-F311-4645-9A08-549F1679359F}" r="N79" connectionId="0">
    <xmlCellPr id="1" xr6:uid="{15F09FF2-38E8-46D2-8C3E-CE1CC3644DEA}" uniqueName="da_vzahod9">
      <xmlPr mapId="7" xpath="/Pisemnost/DPFDP6/VetaW/@da_vzahod9" xmlDataType="decimal"/>
    </xmlCellPr>
  </singleXmlCell>
  <singleXmlCell id="252" xr6:uid="{651375E6-8152-4372-B939-E78F6F01B0A3}" r="B88" connectionId="0">
    <xmlCellPr id="1" xr6:uid="{E193FAB0-26D7-4914-B76E-0A2745F5D667}" uniqueName="c_nest_uctu">
      <xmlPr mapId="7" xpath="/Pisemnost/DPFDP6/VetaN/@c_nest_uctu" xmlDataType="string"/>
    </xmlCellPr>
  </singleXmlCell>
  <singleXmlCell id="253" xr6:uid="{9A25EA13-FC47-420C-8008-CD3B7AF12F8A}" r="B89" connectionId="0">
    <xmlCellPr id="1" xr6:uid="{F7C755AA-044F-4F84-A846-645B069AEBC1}" uniqueName="id_banky">
      <xmlPr mapId="7" xpath="/Pisemnost/DPFDP6/VetaN/@id_banky" xmlDataType="string"/>
    </xmlCellPr>
  </singleXmlCell>
  <singleXmlCell id="254" xr6:uid="{B71277DB-C6BC-4836-83EB-C94D6568C969}" r="B90" connectionId="0">
    <xmlCellPr id="1" xr6:uid="{C6B608B8-2C6D-4ADA-B69B-9FC052E34208}" uniqueName="k_meny_uctu">
      <xmlPr mapId="7" xpath="/Pisemnost/DPFDP6/VetaN/@k_meny_uctu" xmlDataType="string"/>
    </xmlCellPr>
  </singleXmlCell>
  <singleXmlCell id="255" xr6:uid="{70A0AD4B-75B9-4513-A3D1-12414CE8409C}" r="B91" connectionId="0">
    <xmlCellPr id="1" xr6:uid="{2220F706-5886-4954-A37F-FE412E0FAF72}" uniqueName="k_stat_banky">
      <xmlPr mapId="7" xpath="/Pisemnost/DPFDP6/VetaN/@k_stat_banky" xmlDataType="string"/>
    </xmlCellPr>
  </singleXmlCell>
  <singleXmlCell id="256" xr6:uid="{8C4E6177-8B14-4BBD-A0CF-1ECABFF8B7C5}" r="B92" connectionId="0">
    <xmlCellPr id="1" xr6:uid="{FDB858C3-CC67-4DCE-A02B-D3412B0C80D8}" uniqueName="kc_preplatek">
      <xmlPr mapId="7" xpath="/Pisemnost/DPFDP6/VetaN/@kc_preplatek" xmlDataType="decimal"/>
    </xmlCellPr>
  </singleXmlCell>
  <singleXmlCell id="257" xr6:uid="{2C5D164C-48C5-4591-BD7D-84B445C6B34E}" r="B93" connectionId="0">
    <xmlCellPr id="1" xr6:uid="{0ACBE58B-87AA-4DE9-A83A-0AD8E5D687C1}" uniqueName="mesto_banky">
      <xmlPr mapId="7" xpath="/Pisemnost/DPFDP6/VetaN/@mesto_banky" xmlDataType="string"/>
    </xmlCellPr>
  </singleXmlCell>
  <singleXmlCell id="258" xr6:uid="{A3C95BEB-2493-4C71-99FA-07B9BCF127FD}" r="B94" connectionId="0">
    <xmlCellPr id="1" xr6:uid="{2251F748-EECB-4B62-BE73-E746DA836814}" uniqueName="mesto_prij">
      <xmlPr mapId="7" xpath="/Pisemnost/DPFDP6/VetaN/@mesto_prij" xmlDataType="string"/>
    </xmlCellPr>
  </singleXmlCell>
  <singleXmlCell id="259" xr6:uid="{A1DCA907-ADBD-4BF7-9716-49D40773A19E}" r="B95" connectionId="0">
    <xmlCellPr id="1" xr6:uid="{A8C4FE52-1C2B-47B9-8E0A-2EF838E4D17D}" uniqueName="naz_adr_banky">
      <xmlPr mapId="7" xpath="/Pisemnost/DPFDP6/VetaN/@naz_adr_banky" xmlDataType="string"/>
    </xmlCellPr>
  </singleXmlCell>
  <singleXmlCell id="260" xr6:uid="{34A78EF3-28C0-4D02-ADAA-C6C23F9B640B}" r="B96" connectionId="0">
    <xmlCellPr id="1" xr6:uid="{A4CF1533-BD7E-4097-A4B3-9AAD6154BA12}" uniqueName="nazev_prij">
      <xmlPr mapId="7" xpath="/Pisemnost/DPFDP6/VetaN/@nazev_prij" xmlDataType="string"/>
    </xmlCellPr>
  </singleXmlCell>
  <singleXmlCell id="261" xr6:uid="{EB2225D5-A6BB-4F2E-BBE2-459368675E9D}" r="B97" connectionId="0">
    <xmlCellPr id="1" xr6:uid="{3E6F5C84-9B12-4C71-8E2B-895246101634}" uniqueName="psc_banky">
      <xmlPr mapId="7" xpath="/Pisemnost/DPFDP6/VetaN/@psc_banky" xmlDataType="string"/>
    </xmlCellPr>
  </singleXmlCell>
  <singleXmlCell id="262" xr6:uid="{5D89BB49-CA57-46CE-BAE9-207B6B48A3E4}" r="B98" connectionId="0">
    <xmlCellPr id="1" xr6:uid="{9EF984FB-DAA3-4A61-BB64-F836FBE53E78}" uniqueName="psc_prij">
      <xmlPr mapId="7" xpath="/Pisemnost/DPFDP6/VetaN/@psc_prij" xmlDataType="string"/>
    </xmlCellPr>
  </singleXmlCell>
  <singleXmlCell id="264" xr6:uid="{20A50B7D-2C6D-46BD-AF5C-476012FC4268}" r="B99" connectionId="0">
    <xmlCellPr id="1" xr6:uid="{4EDE7591-64D2-4CAD-A021-80BF30808706}" uniqueName="region_banky">
      <xmlPr mapId="7" xpath="/Pisemnost/DPFDP6/VetaN/@region_banky" xmlDataType="string"/>
    </xmlCellPr>
  </singleXmlCell>
  <singleXmlCell id="265" xr6:uid="{6C262D1F-35CE-4411-8059-09E2ABE72E26}" r="B100" connectionId="0">
    <xmlCellPr id="1" xr6:uid="{CCEC40F9-8125-4392-9FF6-852145AF9025}" uniqueName="region_prij">
      <xmlPr mapId="7" xpath="/Pisemnost/DPFDP6/VetaN/@region_prij" xmlDataType="string"/>
    </xmlCellPr>
  </singleXmlCell>
  <singleXmlCell id="266" xr6:uid="{7C833F28-E03B-4DB0-96F5-2D371F9DE8C1}" r="B101" connectionId="0">
    <xmlCellPr id="1" xr6:uid="{C95EE856-3A69-4D1A-930B-839261DEB253}" uniqueName="stat_prij">
      <xmlPr mapId="7" xpath="/Pisemnost/DPFDP6/VetaN/@stat_prij" xmlDataType="string"/>
    </xmlCellPr>
  </singleXmlCell>
  <singleXmlCell id="267" xr6:uid="{A8A15A1A-0811-4FDA-B84C-F2B09D644096}" r="B102" connectionId="0">
    <xmlCellPr id="1" xr6:uid="{8489E2C2-1DC0-4291-9E43-8EC9EEFE8445}" uniqueName="sym_plvmpv">
      <xmlPr mapId="7" xpath="/Pisemnost/DPFDP6/VetaN/@sym_plvmpv" xmlDataType="string"/>
    </xmlCellPr>
  </singleXmlCell>
  <singleXmlCell id="268" xr6:uid="{3E5B5557-C0DA-427D-AE34-2587A47A8167}" r="B103" connectionId="0">
    <xmlCellPr id="1" xr6:uid="{5FEC36CE-3A43-40B6-9376-7B3E8612AF02}" uniqueName="ulice_banky">
      <xmlPr mapId="7" xpath="/Pisemnost/DPFDP6/VetaN/@ulice_banky" xmlDataType="string"/>
    </xmlCellPr>
  </singleXmlCell>
  <singleXmlCell id="269" xr6:uid="{458DCB86-240F-4104-9E26-2EE3D218B69B}" r="B104" connectionId="0">
    <xmlCellPr id="1" xr6:uid="{4B76F279-6A00-43F7-B369-486749FAFF2F}" uniqueName="ulice_prij">
      <xmlPr mapId="7" xpath="/Pisemnost/DPFDP6/VetaN/@ulice_prij" xmlDataType="string"/>
    </xmlCellPr>
  </singleXmlCell>
  <singleXmlCell id="271" xr6:uid="{B0209D7E-11D6-4D10-8DA5-48878346A481}" r="B105" connectionId="0">
    <xmlCellPr id="1" xr6:uid="{22D66252-41D5-49C5-834D-2A4536B03E57}" uniqueName="zp_vrac">
      <xmlPr mapId="7" xpath="/Pisemnost/DPFDP6/VetaN/@zp_vrac" xmlDataType="string"/>
    </xmlCellPr>
  </singleXmlCell>
  <singleXmlCell id="274" xr6:uid="{DAC2261D-8CCC-4F34-B82C-1AD61F1AC2A4}" r="B106" connectionId="0">
    <xmlCellPr id="1" xr6:uid="{9F1D08CE-A4D9-4865-8CDF-88CB6CF97B2B}" uniqueName="zvp_c_komds">
      <xmlPr mapId="7" xpath="/Pisemnost/DPFDP6/VetaN/@zvp_c_komds" xmlDataType="string"/>
    </xmlCellPr>
  </singleXmlCell>
  <singleXmlCell id="275" xr6:uid="{8FC8181D-763E-4230-92CC-BBD7C830EBD9}" r="B107" connectionId="0">
    <xmlCellPr id="1" xr6:uid="{DA690A4B-8B7A-4CE3-BACD-B49C8D530857}" uniqueName="zvp_c_obce">
      <xmlPr mapId="7" xpath="/Pisemnost/DPFDP6/VetaN/@zvp_c_obce" xmlDataType="decimal"/>
    </xmlCellPr>
  </singleXmlCell>
  <singleXmlCell id="276" xr6:uid="{CD653D88-6441-4810-917F-F56F6A336810}" r="B108" connectionId="0">
    <xmlCellPr id="1" xr6:uid="{75DDC4EF-AEAE-4974-B5A4-4B770FE26F7E}" uniqueName="zvp_c_orient">
      <xmlPr mapId="7" xpath="/Pisemnost/DPFDP6/VetaN/@zvp_c_orient" xmlDataType="string"/>
    </xmlCellPr>
  </singleXmlCell>
  <singleXmlCell id="277" xr6:uid="{09B1D52F-3619-432D-96FB-E0B66E54E287}" r="B109" connectionId="0">
    <xmlCellPr id="1" xr6:uid="{0F1417CF-9D67-4E1B-B786-5E28D7D8BE49}" uniqueName="zvp_c_pop">
      <xmlPr mapId="7" xpath="/Pisemnost/DPFDP6/VetaN/@zvp_c_pop" xmlDataType="decimal"/>
    </xmlCellPr>
  </singleXmlCell>
  <singleXmlCell id="278" xr6:uid="{DE5E01FF-51D0-470E-977D-1C9A91A5EA46}" r="B110" connectionId="0">
    <xmlCellPr id="1" xr6:uid="{F6195856-2781-4F96-92F3-E231F747E2A4}" uniqueName="zvp_jmeno">
      <xmlPr mapId="7" xpath="/Pisemnost/DPFDP6/VetaN/@zvp_jmeno" xmlDataType="string"/>
    </xmlCellPr>
  </singleXmlCell>
  <singleXmlCell id="279" xr6:uid="{4277B09D-936A-4E7A-95DE-BAA6101C549F}" r="B111" connectionId="0">
    <xmlCellPr id="1" xr6:uid="{15EB4EBB-9E2A-4C1E-AD3E-C37369A5DD91}" uniqueName="zvp_k_bank">
      <xmlPr mapId="7" xpath="/Pisemnost/DPFDP6/VetaN/@zvp_k_bank" xmlDataType="decimal"/>
    </xmlCellPr>
  </singleXmlCell>
  <singleXmlCell id="280" xr6:uid="{6EC44087-36CB-443D-8CC3-2DCA759EB613}" r="B112" connectionId="0">
    <xmlCellPr id="1" xr6:uid="{9518B074-17D2-4C92-94E6-44508CCAE99C}" uniqueName="zvp_naz_bank">
      <xmlPr mapId="7" xpath="/Pisemnost/DPFDP6/VetaN/@zvp_naz_bank" xmlDataType="string"/>
    </xmlCellPr>
  </singleXmlCell>
  <singleXmlCell id="281" xr6:uid="{983C77BF-1BB7-45B9-B816-B2B96BBA815D}" r="B113" connectionId="0">
    <xmlCellPr id="1" xr6:uid="{0FF9CD75-25DE-4392-8FC1-86F400D86BF2}" uniqueName="zvp_naz_obce">
      <xmlPr mapId="7" xpath="/Pisemnost/DPFDP6/VetaN/@zvp_naz_obce" xmlDataType="string"/>
    </xmlCellPr>
  </singleXmlCell>
  <singleXmlCell id="282" xr6:uid="{B68D1642-74D4-4CA8-84B6-6CED9A1B921C}" r="B114" connectionId="0">
    <xmlCellPr id="1" xr6:uid="{39AB9D65-748D-4CE0-B16B-775251527E65}" uniqueName="zvp_pbu">
      <xmlPr mapId="7" xpath="/Pisemnost/DPFDP6/VetaN/@zvp_pbu" xmlDataType="decimal"/>
    </xmlCellPr>
  </singleXmlCell>
  <singleXmlCell id="283" xr6:uid="{28A30127-E9C3-4A76-9DC1-BB27AE5035B1}" r="B115" connectionId="0">
    <xmlCellPr id="1" xr6:uid="{74E2C855-31FB-4CA0-85C8-C8E46A1D0013}" uniqueName="zvp_prijmeni">
      <xmlPr mapId="7" xpath="/Pisemnost/DPFDP6/VetaN/@zvp_prijmeni" xmlDataType="string"/>
    </xmlCellPr>
  </singleXmlCell>
  <singleXmlCell id="284" xr6:uid="{E08F1DF9-3810-4299-B12E-8B9BF604D7F6}" r="B116" connectionId="0">
    <xmlCellPr id="1" xr6:uid="{C1606830-0BAD-4F2F-974D-AA45E30E01DF}" uniqueName="zvp_psc">
      <xmlPr mapId="7" xpath="/Pisemnost/DPFDP6/VetaN/@zvp_psc" xmlDataType="decimal"/>
    </xmlCellPr>
  </singleXmlCell>
  <singleXmlCell id="285" xr6:uid="{639FFB2A-FA1D-4C33-BBD8-40F26C3A6C72}" r="B117" connectionId="0">
    <xmlCellPr id="1" xr6:uid="{034B99F1-9CA1-4E0F-9DB2-D5F58DB1F7DB}" uniqueName="zvp_spec_symb">
      <xmlPr mapId="7" xpath="/Pisemnost/DPFDP6/VetaN/@zvp_spec_symb" xmlDataType="string"/>
    </xmlCellPr>
  </singleXmlCell>
  <singleXmlCell id="286" xr6:uid="{F67D4EEB-CC10-41EF-A98D-5FFA38C034CA}" r="B118" connectionId="0">
    <xmlCellPr id="1" xr6:uid="{C33405F2-A791-43C9-8E98-353014156750}" uniqueName="zvp_titul">
      <xmlPr mapId="7" xpath="/Pisemnost/DPFDP6/VetaN/@zvp_titul" xmlDataType="string"/>
    </xmlCellPr>
  </singleXmlCell>
  <singleXmlCell id="287" xr6:uid="{29053C78-F37D-4810-9DF3-E953DE0BE606}" r="B119" connectionId="0">
    <xmlCellPr id="1" xr6:uid="{889E873C-660A-464E-9A35-F714302D6E2D}" uniqueName="zvp_ulice">
      <xmlPr mapId="7" xpath="/Pisemnost/DPFDP6/VetaN/@zvp_ulice" xmlDataType="string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tableSingleCells" Target="../tables/tableSingleCells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adisepo.mfcr.cz/adistc/adis/idpr_epo/epo2/spol/soubor_vyber.faces" TargetMode="External"/><Relationship Id="rId2" Type="http://schemas.openxmlformats.org/officeDocument/2006/relationships/hyperlink" Target="http://business.center.cz/business/sablony/s110-ucetni-zaverka-v-plnem-rozsahu.aspx" TargetMode="External"/><Relationship Id="rId1" Type="http://schemas.openxmlformats.org/officeDocument/2006/relationships/hyperlink" Target="http://business.center.cz/business/sablony/s110-ucetni-zaverka-v-plnem-rozsahu.aspx" TargetMode="Externa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business.center.cz/business/sablony/s3-priznani-k-dani-z-prijmu-fyzickych-osob.aspx" TargetMode="External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>
      <selection activeCell="Z994" sqref="Z994"/>
    </sheetView>
  </sheetViews>
  <sheetFormatPr defaultRowHeight="12.75"/>
  <cols>
    <col min="2" max="2" width="27.42578125" customWidth="1"/>
    <col min="5" max="5" width="22.28515625" customWidth="1"/>
    <col min="8" max="8" width="26.140625" customWidth="1"/>
    <col min="10" max="10" width="37.28515625" customWidth="1"/>
    <col min="14" max="14" width="44.85546875" customWidth="1"/>
  </cols>
  <sheetData>
    <row r="1" spans="1:26" ht="13.5" thickBot="1">
      <c r="A1" s="282"/>
      <c r="B1" s="282"/>
      <c r="C1" s="282"/>
      <c r="D1" s="283"/>
      <c r="E1" s="282"/>
      <c r="F1" s="282"/>
      <c r="G1" s="282"/>
      <c r="H1" s="282"/>
      <c r="I1" s="282"/>
      <c r="O1" s="284"/>
    </row>
    <row r="2" spans="1:26" ht="12.75" customHeight="1" thickBot="1">
      <c r="A2" s="282"/>
      <c r="B2" s="285" t="s">
        <v>746</v>
      </c>
      <c r="C2" s="286"/>
      <c r="D2" s="287"/>
      <c r="E2" s="288" t="s">
        <v>747</v>
      </c>
      <c r="F2" s="289"/>
      <c r="G2" s="288">
        <f>COUNTIF(H3:H210,"?*")</f>
        <v>202</v>
      </c>
      <c r="H2" s="290"/>
      <c r="I2" s="282"/>
      <c r="J2" s="291" t="s">
        <v>748</v>
      </c>
      <c r="M2" s="292" t="s">
        <v>749</v>
      </c>
      <c r="N2" s="293" t="s">
        <v>750</v>
      </c>
      <c r="O2" s="294" t="s">
        <v>751</v>
      </c>
      <c r="P2" s="295"/>
      <c r="Q2" s="291"/>
    </row>
    <row r="3" spans="1:26" ht="12.75" customHeight="1">
      <c r="A3" s="282"/>
      <c r="B3" s="296" t="s">
        <v>752</v>
      </c>
      <c r="C3" s="297">
        <v>451</v>
      </c>
      <c r="D3" s="298">
        <f>IF(ISNUMBER(SEARCH(ZAKL_DATA!$B$14,E3)),MAX($D$2:D2)+1,0)</f>
        <v>1</v>
      </c>
      <c r="E3" s="299" t="s">
        <v>753</v>
      </c>
      <c r="F3" s="300">
        <v>2001</v>
      </c>
      <c r="G3" s="301"/>
      <c r="H3" s="302" t="str">
        <f>IFERROR(VLOOKUP(ROWS($H$3:H3),$D$3:$E$204,2,0),"")</f>
        <v>PRAHA 1</v>
      </c>
      <c r="I3" s="282"/>
      <c r="J3" s="303" t="s">
        <v>754</v>
      </c>
      <c r="K3" s="304" t="s">
        <v>176</v>
      </c>
      <c r="M3" s="305">
        <f>IF(ISNUMBER(SEARCH(ZAKL_DATA!$B$29,N3)),MAX($M$2:M2)+1,0)</f>
        <v>1</v>
      </c>
      <c r="N3" s="306" t="s">
        <v>755</v>
      </c>
      <c r="O3" s="307" t="s">
        <v>756</v>
      </c>
      <c r="P3" s="308"/>
      <c r="Q3" s="309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306" t="s">
        <v>755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306" t="s">
        <v>755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306" t="s">
        <v>755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282"/>
      <c r="B4" s="310" t="s">
        <v>757</v>
      </c>
      <c r="C4" s="311">
        <v>452</v>
      </c>
      <c r="D4" s="298">
        <f>IF(ISNUMBER(SEARCH(ZAKL_DATA!$B$14,E4)),MAX($D$2:D3)+1,0)</f>
        <v>2</v>
      </c>
      <c r="E4" s="312" t="s">
        <v>758</v>
      </c>
      <c r="F4" s="313">
        <v>2002</v>
      </c>
      <c r="G4" s="314"/>
      <c r="H4" s="315" t="str">
        <f>IFERROR(VLOOKUP(ROWS($H$3:H4),$D$3:$E$204,2,0),"")</f>
        <v>PRAHA 2</v>
      </c>
      <c r="I4" s="282"/>
      <c r="J4" s="316" t="s">
        <v>759</v>
      </c>
      <c r="K4" s="304" t="s">
        <v>760</v>
      </c>
      <c r="M4" s="305">
        <f>IF(ISNUMBER(SEARCH(ZAKL_DATA!$B$29,N4)),MAX($M$2:M3)+1,0)</f>
        <v>2</v>
      </c>
      <c r="N4" s="306" t="s">
        <v>761</v>
      </c>
      <c r="O4" s="307" t="s">
        <v>762</v>
      </c>
      <c r="P4" s="308"/>
      <c r="Q4" s="309" t="str">
        <f>IFERROR(VLOOKUP(ROWS($Q$3:Q4),$M$3:$N$992,2,0),"")</f>
        <v>Lesnictví a těžba dřeva</v>
      </c>
      <c r="R4">
        <f>IF(ISNUMBER(SEARCH('1Př1'!$A$32,N4)),MAX($M$2:M3)+1,0)</f>
        <v>2</v>
      </c>
      <c r="S4" s="306" t="s">
        <v>761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306" t="s">
        <v>761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306" t="s">
        <v>761</v>
      </c>
      <c r="Z4" t="str">
        <f>IFERROR(VLOOKUP(ROWS($Z$3:Z4),$X$3:$Y$992,2,0),"")</f>
        <v>Lesnictví a těžba dřeva</v>
      </c>
    </row>
    <row r="5" spans="1:26" ht="12.75" customHeight="1">
      <c r="A5" s="282"/>
      <c r="B5" s="310" t="s">
        <v>763</v>
      </c>
      <c r="C5" s="311">
        <v>453</v>
      </c>
      <c r="D5" s="298">
        <f>IF(ISNUMBER(SEARCH(ZAKL_DATA!$B$14,E5)),MAX($D$2:D4)+1,0)</f>
        <v>3</v>
      </c>
      <c r="E5" s="312" t="s">
        <v>764</v>
      </c>
      <c r="F5" s="313">
        <v>2003</v>
      </c>
      <c r="G5" s="314"/>
      <c r="H5" s="315" t="str">
        <f>IFERROR(VLOOKUP(ROWS($H$3:H5),$D$3:$E$204,2,0),"")</f>
        <v>PRAHA 3</v>
      </c>
      <c r="I5" s="282"/>
      <c r="J5" s="316" t="s">
        <v>765</v>
      </c>
      <c r="K5" s="304" t="s">
        <v>766</v>
      </c>
      <c r="M5" s="305">
        <f>IF(ISNUMBER(SEARCH(ZAKL_DATA!$B$29,N5)),MAX($M$2:M4)+1,0)</f>
        <v>3</v>
      </c>
      <c r="N5" s="306" t="s">
        <v>767</v>
      </c>
      <c r="O5" s="307" t="s">
        <v>768</v>
      </c>
      <c r="P5" s="308"/>
      <c r="Q5" s="309" t="str">
        <f>IFERROR(VLOOKUP(ROWS($Q$3:Q5),$M$3:$N$992,2,0),"")</f>
        <v>Rybolov a akvakultura</v>
      </c>
      <c r="R5">
        <f>IF(ISNUMBER(SEARCH('1Př1'!$A$32,N5)),MAX($M$2:M4)+1,0)</f>
        <v>3</v>
      </c>
      <c r="S5" s="306" t="s">
        <v>767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306" t="s">
        <v>767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306" t="s">
        <v>767</v>
      </c>
      <c r="Z5" t="str">
        <f>IFERROR(VLOOKUP(ROWS($Z$3:Z5),$X$3:$Y$992,2,0),"")</f>
        <v>Rybolov a akvakultura</v>
      </c>
    </row>
    <row r="6" spans="1:26" ht="12.75" customHeight="1">
      <c r="A6" s="282"/>
      <c r="B6" s="310" t="s">
        <v>769</v>
      </c>
      <c r="C6" s="311">
        <v>454</v>
      </c>
      <c r="D6" s="298">
        <f>IF(ISNUMBER(SEARCH(ZAKL_DATA!$B$14,E6)),MAX($D$2:D5)+1,0)</f>
        <v>4</v>
      </c>
      <c r="E6" s="312" t="s">
        <v>770</v>
      </c>
      <c r="F6" s="313">
        <v>2004</v>
      </c>
      <c r="G6" s="314"/>
      <c r="H6" s="315" t="str">
        <f>IFERROR(VLOOKUP(ROWS($H$3:H6),$D$3:$E$204,2,0),"")</f>
        <v>PRAHA 4</v>
      </c>
      <c r="I6" s="282"/>
      <c r="J6" s="317" t="s">
        <v>771</v>
      </c>
      <c r="K6" s="304" t="s">
        <v>772</v>
      </c>
      <c r="M6" s="305">
        <f>IF(ISNUMBER(SEARCH(ZAKL_DATA!$B$29,N6)),MAX($M$2:M5)+1,0)</f>
        <v>4</v>
      </c>
      <c r="N6" s="306" t="s">
        <v>773</v>
      </c>
      <c r="O6" s="307" t="s">
        <v>774</v>
      </c>
      <c r="P6" s="308"/>
      <c r="Q6" s="309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306" t="s">
        <v>773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306" t="s">
        <v>773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306" t="s">
        <v>773</v>
      </c>
      <c r="Z6" t="str">
        <f>IFERROR(VLOOKUP(ROWS($Z$3:Z6),$X$3:$Y$992,2,0),"")</f>
        <v>Těžba a úprava černého a hnědého uhlí</v>
      </c>
    </row>
    <row r="7" spans="1:26" ht="12.75" customHeight="1">
      <c r="A7" s="282"/>
      <c r="B7" s="310" t="s">
        <v>775</v>
      </c>
      <c r="C7" s="311">
        <v>455</v>
      </c>
      <c r="D7" s="298">
        <f>IF(ISNUMBER(SEARCH(ZAKL_DATA!$B$14,E7)),MAX($D$2:D6)+1,0)</f>
        <v>5</v>
      </c>
      <c r="E7" s="312" t="s">
        <v>776</v>
      </c>
      <c r="F7" s="313">
        <v>2005</v>
      </c>
      <c r="G7" s="314"/>
      <c r="H7" s="315" t="str">
        <f>IFERROR(VLOOKUP(ROWS($H$3:H7),$D$3:$E$204,2,0),"")</f>
        <v>PRAHA 5</v>
      </c>
      <c r="I7" s="282"/>
      <c r="J7" s="317" t="s">
        <v>777</v>
      </c>
      <c r="K7" s="304" t="s">
        <v>778</v>
      </c>
      <c r="M7" s="305">
        <f>IF(ISNUMBER(SEARCH(ZAKL_DATA!$B$29,N7)),MAX($M$2:M6)+1,0)</f>
        <v>5</v>
      </c>
      <c r="N7" s="306" t="s">
        <v>779</v>
      </c>
      <c r="O7" s="307" t="s">
        <v>780</v>
      </c>
      <c r="P7" s="308"/>
      <c r="Q7" s="309" t="str">
        <f>IFERROR(VLOOKUP(ROWS($Q$3:Q7),$M$3:$N$992,2,0),"")</f>
        <v>Těžba ropy a zemního plynu</v>
      </c>
      <c r="R7">
        <f>IF(ISNUMBER(SEARCH('1Př1'!$A$32,N7)),MAX($M$2:M6)+1,0)</f>
        <v>5</v>
      </c>
      <c r="S7" s="306" t="s">
        <v>779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306" t="s">
        <v>779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306" t="s">
        <v>779</v>
      </c>
      <c r="Z7" t="str">
        <f>IFERROR(VLOOKUP(ROWS($Z$3:Z7),$X$3:$Y$992,2,0),"")</f>
        <v>Těžba ropy a zemního plynu</v>
      </c>
    </row>
    <row r="8" spans="1:26" ht="12.75" customHeight="1">
      <c r="A8" s="282"/>
      <c r="B8" s="310" t="s">
        <v>781</v>
      </c>
      <c r="C8" s="311">
        <v>456</v>
      </c>
      <c r="D8" s="298">
        <f>IF(ISNUMBER(SEARCH(ZAKL_DATA!$B$14,E8)),MAX($D$2:D7)+1,0)</f>
        <v>6</v>
      </c>
      <c r="E8" s="312" t="s">
        <v>782</v>
      </c>
      <c r="F8" s="313">
        <v>2006</v>
      </c>
      <c r="G8" s="314"/>
      <c r="H8" s="315" t="str">
        <f>IFERROR(VLOOKUP(ROWS($H$3:H8),$D$3:$E$204,2,0),"")</f>
        <v>PRAHA 6</v>
      </c>
      <c r="I8" s="282"/>
      <c r="J8" s="317" t="s">
        <v>783</v>
      </c>
      <c r="K8" s="304" t="s">
        <v>784</v>
      </c>
      <c r="M8" s="305">
        <f>IF(ISNUMBER(SEARCH(ZAKL_DATA!$B$29,N8)),MAX($M$2:M7)+1,0)</f>
        <v>6</v>
      </c>
      <c r="N8" s="306" t="s">
        <v>785</v>
      </c>
      <c r="O8" s="307" t="s">
        <v>786</v>
      </c>
      <c r="P8" s="308"/>
      <c r="Q8" s="309" t="str">
        <f>IFERROR(VLOOKUP(ROWS($Q$3:Q8),$M$3:$N$992,2,0),"")</f>
        <v>Těžba a úprava rud</v>
      </c>
      <c r="R8">
        <f>IF(ISNUMBER(SEARCH('1Př1'!$A$32,N8)),MAX($M$2:M7)+1,0)</f>
        <v>6</v>
      </c>
      <c r="S8" s="306" t="s">
        <v>785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306" t="s">
        <v>785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306" t="s">
        <v>785</v>
      </c>
      <c r="Z8" t="str">
        <f>IFERROR(VLOOKUP(ROWS($Z$3:Z8),$X$3:$Y$992,2,0),"")</f>
        <v>Těžba a úprava rud</v>
      </c>
    </row>
    <row r="9" spans="1:26" ht="12.75" customHeight="1">
      <c r="A9" s="282"/>
      <c r="B9" s="310" t="s">
        <v>787</v>
      </c>
      <c r="C9" s="311">
        <v>457</v>
      </c>
      <c r="D9" s="298">
        <f>IF(ISNUMBER(SEARCH(ZAKL_DATA!$B$14,E9)),MAX($D$2:D8)+1,0)</f>
        <v>7</v>
      </c>
      <c r="E9" s="312" t="s">
        <v>788</v>
      </c>
      <c r="F9" s="313">
        <v>2007</v>
      </c>
      <c r="G9" s="314"/>
      <c r="H9" s="315" t="str">
        <f>IFERROR(VLOOKUP(ROWS($H$3:H9),$D$3:$E$204,2,0),"")</f>
        <v>PRAHA 7</v>
      </c>
      <c r="I9" s="282"/>
      <c r="J9" s="317" t="s">
        <v>789</v>
      </c>
      <c r="K9" s="304" t="s">
        <v>790</v>
      </c>
      <c r="M9" s="305">
        <f>IF(ISNUMBER(SEARCH(ZAKL_DATA!$B$29,N9)),MAX($M$2:M8)+1,0)</f>
        <v>7</v>
      </c>
      <c r="N9" s="306" t="s">
        <v>791</v>
      </c>
      <c r="O9" s="307" t="s">
        <v>792</v>
      </c>
      <c r="P9" s="308"/>
      <c r="Q9" s="309" t="str">
        <f>IFERROR(VLOOKUP(ROWS($Q$3:Q9),$M$3:$N$992,2,0),"")</f>
        <v>Ostatní těžba a dobývání</v>
      </c>
      <c r="R9">
        <f>IF(ISNUMBER(SEARCH('1Př1'!$A$32,N9)),MAX($M$2:M8)+1,0)</f>
        <v>7</v>
      </c>
      <c r="S9" s="306" t="s">
        <v>791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306" t="s">
        <v>791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306" t="s">
        <v>791</v>
      </c>
      <c r="Z9" t="str">
        <f>IFERROR(VLOOKUP(ROWS($Z$3:Z9),$X$3:$Y$992,2,0),"")</f>
        <v>Ostatní těžba a dobývání</v>
      </c>
    </row>
    <row r="10" spans="1:26" ht="12.75" customHeight="1">
      <c r="A10" s="282"/>
      <c r="B10" s="310" t="s">
        <v>793</v>
      </c>
      <c r="C10" s="311">
        <v>458</v>
      </c>
      <c r="D10" s="298">
        <f>IF(ISNUMBER(SEARCH(ZAKL_DATA!$B$14,E10)),MAX($D$2:D9)+1,0)</f>
        <v>8</v>
      </c>
      <c r="E10" s="312" t="s">
        <v>794</v>
      </c>
      <c r="F10" s="313">
        <v>2008</v>
      </c>
      <c r="G10" s="314"/>
      <c r="H10" s="315" t="str">
        <f>IFERROR(VLOOKUP(ROWS($H$3:H10),$D$3:$E$204,2,0),"")</f>
        <v>PRAHA 8</v>
      </c>
      <c r="I10" s="282"/>
      <c r="J10" s="317" t="s">
        <v>795</v>
      </c>
      <c r="K10" s="304" t="s">
        <v>796</v>
      </c>
      <c r="M10" s="305">
        <f>IF(ISNUMBER(SEARCH(ZAKL_DATA!$B$29,N10)),MAX($M$2:M9)+1,0)</f>
        <v>8</v>
      </c>
      <c r="N10" s="306" t="s">
        <v>797</v>
      </c>
      <c r="O10" s="307" t="s">
        <v>798</v>
      </c>
      <c r="P10" s="308"/>
      <c r="Q10" s="309" t="str">
        <f>IFERROR(VLOOKUP(ROWS($Q$3:Q10),$M$3:$N$992,2,0),"")</f>
        <v>Podpůrné činnosti při těžbě</v>
      </c>
      <c r="R10">
        <f>IF(ISNUMBER(SEARCH('1Př1'!$A$32,N10)),MAX($M$2:M9)+1,0)</f>
        <v>8</v>
      </c>
      <c r="S10" s="306" t="s">
        <v>797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306" t="s">
        <v>797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306" t="s">
        <v>797</v>
      </c>
      <c r="Z10" t="str">
        <f>IFERROR(VLOOKUP(ROWS($Z$3:Z10),$X$3:$Y$992,2,0),"")</f>
        <v>Podpůrné činnosti při těžbě</v>
      </c>
    </row>
    <row r="11" spans="1:26" ht="12.75" customHeight="1">
      <c r="A11" s="282"/>
      <c r="B11" s="310" t="s">
        <v>799</v>
      </c>
      <c r="C11" s="311">
        <v>459</v>
      </c>
      <c r="D11" s="298">
        <f>IF(ISNUMBER(SEARCH(ZAKL_DATA!$B$14,E11)),MAX($D$2:D10)+1,0)</f>
        <v>9</v>
      </c>
      <c r="E11" s="312" t="s">
        <v>800</v>
      </c>
      <c r="F11" s="313">
        <v>2009</v>
      </c>
      <c r="G11" s="314"/>
      <c r="H11" s="315" t="str">
        <f>IFERROR(VLOOKUP(ROWS($H$3:H11),$D$3:$E$204,2,0),"")</f>
        <v>PRAHA 9</v>
      </c>
      <c r="I11" s="282"/>
      <c r="J11" s="317" t="s">
        <v>801</v>
      </c>
      <c r="K11" s="304" t="s">
        <v>802</v>
      </c>
      <c r="M11" s="305">
        <f>IF(ISNUMBER(SEARCH(ZAKL_DATA!$B$29,N11)),MAX($M$2:M10)+1,0)</f>
        <v>9</v>
      </c>
      <c r="N11" s="306" t="s">
        <v>803</v>
      </c>
      <c r="O11" s="307" t="s">
        <v>804</v>
      </c>
      <c r="P11" s="308"/>
      <c r="Q11" s="309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306" t="s">
        <v>803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306" t="s">
        <v>803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306" t="s">
        <v>803</v>
      </c>
      <c r="Z11" t="str">
        <f>IFERROR(VLOOKUP(ROWS($Z$3:Z11),$X$3:$Y$992,2,0),"")</f>
        <v>Výroba potravinářských výrobků</v>
      </c>
    </row>
    <row r="12" spans="1:26" ht="12.75" customHeight="1">
      <c r="A12" s="282"/>
      <c r="B12" s="310" t="s">
        <v>805</v>
      </c>
      <c r="C12" s="318">
        <v>460</v>
      </c>
      <c r="D12" s="298">
        <f>IF(ISNUMBER(SEARCH(ZAKL_DATA!$B$14,E12)),MAX($D$2:D11)+1,0)</f>
        <v>10</v>
      </c>
      <c r="E12" s="312" t="s">
        <v>806</v>
      </c>
      <c r="F12" s="313">
        <v>2010</v>
      </c>
      <c r="G12" s="314"/>
      <c r="H12" s="315" t="str">
        <f>IFERROR(VLOOKUP(ROWS($H$3:H12),$D$3:$E$204,2,0),"")</f>
        <v>PRAHA 10</v>
      </c>
      <c r="I12" s="282"/>
      <c r="J12" s="317" t="s">
        <v>807</v>
      </c>
      <c r="K12" s="304" t="s">
        <v>808</v>
      </c>
      <c r="M12" s="305">
        <f>IF(ISNUMBER(SEARCH(ZAKL_DATA!$B$29,N12)),MAX($M$2:M11)+1,0)</f>
        <v>10</v>
      </c>
      <c r="N12" s="306" t="s">
        <v>809</v>
      </c>
      <c r="O12" s="307" t="s">
        <v>810</v>
      </c>
      <c r="P12" s="308"/>
      <c r="Q12" s="309" t="str">
        <f>IFERROR(VLOOKUP(ROWS($Q$3:Q12),$M$3:$N$992,2,0),"")</f>
        <v>Výroba nápojů</v>
      </c>
      <c r="R12">
        <f>IF(ISNUMBER(SEARCH('1Př1'!$A$32,N12)),MAX($M$2:M11)+1,0)</f>
        <v>10</v>
      </c>
      <c r="S12" s="306" t="s">
        <v>809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306" t="s">
        <v>809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306" t="s">
        <v>809</v>
      </c>
      <c r="Z12" t="str">
        <f>IFERROR(VLOOKUP(ROWS($Z$3:Z12),$X$3:$Y$992,2,0),"")</f>
        <v>Výroba nápojů</v>
      </c>
    </row>
    <row r="13" spans="1:26" ht="12.75" customHeight="1">
      <c r="A13" s="282"/>
      <c r="B13" s="310" t="s">
        <v>811</v>
      </c>
      <c r="C13" s="311">
        <v>461</v>
      </c>
      <c r="D13" s="298">
        <f>IF(ISNUMBER(SEARCH(ZAKL_DATA!$B$14,E13)),MAX($D$2:D12)+1,0)</f>
        <v>11</v>
      </c>
      <c r="E13" s="312" t="s">
        <v>812</v>
      </c>
      <c r="F13" s="313">
        <v>2011</v>
      </c>
      <c r="G13" s="314"/>
      <c r="H13" s="315" t="str">
        <f>IFERROR(VLOOKUP(ROWS($H$3:H13),$D$3:$E$204,2,0),"")</f>
        <v>PRAHA-JIŽNÍ MĚSTO</v>
      </c>
      <c r="I13" s="282"/>
      <c r="J13" s="317" t="s">
        <v>813</v>
      </c>
      <c r="K13" s="304" t="s">
        <v>814</v>
      </c>
      <c r="M13" s="305">
        <f>IF(ISNUMBER(SEARCH(ZAKL_DATA!$B$29,N13)),MAX($M$2:M12)+1,0)</f>
        <v>11</v>
      </c>
      <c r="N13" s="306" t="s">
        <v>815</v>
      </c>
      <c r="O13" s="307" t="s">
        <v>816</v>
      </c>
      <c r="P13" s="308"/>
      <c r="Q13" s="309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306" t="s">
        <v>815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306" t="s">
        <v>815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306" t="s">
        <v>815</v>
      </c>
      <c r="Z13" t="str">
        <f>IFERROR(VLOOKUP(ROWS($Z$3:Z13),$X$3:$Y$992,2,0),"")</f>
        <v>Pěstování plodin jiných než trvalých</v>
      </c>
    </row>
    <row r="14" spans="1:26" ht="12.75" customHeight="1">
      <c r="A14" s="282"/>
      <c r="B14" s="310" t="s">
        <v>817</v>
      </c>
      <c r="C14" s="311">
        <v>462</v>
      </c>
      <c r="D14" s="298">
        <f>IF(ISNUMBER(SEARCH(ZAKL_DATA!$B$14,E14)),MAX($D$2:D13)+1,0)</f>
        <v>12</v>
      </c>
      <c r="E14" s="312" t="s">
        <v>818</v>
      </c>
      <c r="F14" s="313">
        <v>2012</v>
      </c>
      <c r="G14" s="314"/>
      <c r="H14" s="315" t="str">
        <f>IFERROR(VLOOKUP(ROWS($H$3:H14),$D$3:$E$204,2,0),"")</f>
        <v>PRAHA-MODŘANY</v>
      </c>
      <c r="I14" s="282"/>
      <c r="J14" s="317" t="s">
        <v>819</v>
      </c>
      <c r="K14" s="304" t="s">
        <v>820</v>
      </c>
      <c r="M14" s="305">
        <f>IF(ISNUMBER(SEARCH(ZAKL_DATA!$B$29,N14)),MAX($M$2:M13)+1,0)</f>
        <v>12</v>
      </c>
      <c r="N14" s="306" t="s">
        <v>821</v>
      </c>
      <c r="O14" s="307" t="s">
        <v>822</v>
      </c>
      <c r="P14" s="308"/>
      <c r="Q14" s="309" t="str">
        <f>IFERROR(VLOOKUP(ROWS($Q$3:Q14),$M$3:$N$992,2,0),"")</f>
        <v>Výroba tabákových výrobků</v>
      </c>
      <c r="R14">
        <f>IF(ISNUMBER(SEARCH('1Př1'!$A$32,N14)),MAX($M$2:M13)+1,0)</f>
        <v>12</v>
      </c>
      <c r="S14" s="306" t="s">
        <v>821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306" t="s">
        <v>821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306" t="s">
        <v>821</v>
      </c>
      <c r="Z14" t="str">
        <f>IFERROR(VLOOKUP(ROWS($Z$3:Z14),$X$3:$Y$992,2,0),"")</f>
        <v>Výroba tabákových výrobků</v>
      </c>
    </row>
    <row r="15" spans="1:26" ht="12.75" customHeight="1">
      <c r="A15" s="282"/>
      <c r="B15" s="310" t="s">
        <v>823</v>
      </c>
      <c r="C15" s="311">
        <v>463</v>
      </c>
      <c r="D15" s="298">
        <f>IF(ISNUMBER(SEARCH(ZAKL_DATA!$B$14,E15)),MAX($D$2:D14)+1,0)</f>
        <v>13</v>
      </c>
      <c r="E15" s="312" t="s">
        <v>824</v>
      </c>
      <c r="F15" s="313">
        <v>2101</v>
      </c>
      <c r="G15" s="314"/>
      <c r="H15" s="315" t="str">
        <f>IFERROR(VLOOKUP(ROWS($H$3:H15),$D$3:$E$204,2,0),"")</f>
        <v>PRAHA - VÝCHOD</v>
      </c>
      <c r="I15" s="282"/>
      <c r="J15" s="317" t="s">
        <v>825</v>
      </c>
      <c r="K15" s="304" t="s">
        <v>826</v>
      </c>
      <c r="M15" s="305">
        <f>IF(ISNUMBER(SEARCH(ZAKL_DATA!$B$29,N15)),MAX($M$2:M14)+1,0)</f>
        <v>13</v>
      </c>
      <c r="N15" s="306" t="s">
        <v>827</v>
      </c>
      <c r="O15" s="307" t="s">
        <v>828</v>
      </c>
      <c r="P15" s="308"/>
      <c r="Q15" s="309" t="str">
        <f>IFERROR(VLOOKUP(ROWS($Q$3:Q15),$M$3:$N$992,2,0),"")</f>
        <v>Pěstování trvalých plodin</v>
      </c>
      <c r="R15">
        <f>IF(ISNUMBER(SEARCH('1Př1'!$A$32,N15)),MAX($M$2:M14)+1,0)</f>
        <v>13</v>
      </c>
      <c r="S15" s="306" t="s">
        <v>827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306" t="s">
        <v>827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306" t="s">
        <v>827</v>
      </c>
      <c r="Z15" t="str">
        <f>IFERROR(VLOOKUP(ROWS($Z$3:Z15),$X$3:$Y$992,2,0),"")</f>
        <v>Pěstování trvalých plodin</v>
      </c>
    </row>
    <row r="16" spans="1:26" ht="12.75" customHeight="1">
      <c r="A16" s="282"/>
      <c r="B16" s="310" t="s">
        <v>829</v>
      </c>
      <c r="C16" s="311">
        <v>464</v>
      </c>
      <c r="D16" s="298">
        <f>IF(ISNUMBER(SEARCH(ZAKL_DATA!$B$14,E16)),MAX($D$2:D15)+1,0)</f>
        <v>14</v>
      </c>
      <c r="E16" s="312" t="s">
        <v>830</v>
      </c>
      <c r="F16" s="313">
        <v>2102</v>
      </c>
      <c r="G16" s="314"/>
      <c r="H16" s="315" t="str">
        <f>IFERROR(VLOOKUP(ROWS($H$3:H16),$D$3:$E$204,2,0),"")</f>
        <v>PRAHA ZÁPAD</v>
      </c>
      <c r="I16" s="282"/>
      <c r="J16" s="317" t="s">
        <v>831</v>
      </c>
      <c r="K16" s="304" t="s">
        <v>832</v>
      </c>
      <c r="M16" s="305">
        <f>IF(ISNUMBER(SEARCH(ZAKL_DATA!$B$29,N16)),MAX($M$2:M15)+1,0)</f>
        <v>14</v>
      </c>
      <c r="N16" s="306" t="s">
        <v>833</v>
      </c>
      <c r="O16" s="307" t="s">
        <v>834</v>
      </c>
      <c r="P16" s="308"/>
      <c r="Q16" s="309" t="str">
        <f>IFERROR(VLOOKUP(ROWS($Q$3:Q16),$M$3:$N$992,2,0),"")</f>
        <v>Výroba textilií</v>
      </c>
      <c r="R16">
        <f>IF(ISNUMBER(SEARCH('1Př1'!$A$32,N16)),MAX($M$2:M15)+1,0)</f>
        <v>14</v>
      </c>
      <c r="S16" s="306" t="s">
        <v>833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306" t="s">
        <v>833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306" t="s">
        <v>833</v>
      </c>
      <c r="Z16" t="str">
        <f>IFERROR(VLOOKUP(ROWS($Z$3:Z16),$X$3:$Y$992,2,0),"")</f>
        <v>Výroba textilií</v>
      </c>
    </row>
    <row r="17" spans="1:26" ht="12.75" customHeight="1" thickBot="1">
      <c r="A17" s="282"/>
      <c r="B17" s="319" t="s">
        <v>835</v>
      </c>
      <c r="C17" s="320">
        <v>13</v>
      </c>
      <c r="D17" s="298">
        <f>IF(ISNUMBER(SEARCH(ZAKL_DATA!$B$14,E17)),MAX($D$2:D16)+1,0)</f>
        <v>15</v>
      </c>
      <c r="E17" s="312" t="s">
        <v>836</v>
      </c>
      <c r="F17" s="313">
        <v>2103</v>
      </c>
      <c r="G17" s="314"/>
      <c r="H17" s="315" t="str">
        <f>IFERROR(VLOOKUP(ROWS($H$3:H17),$D$3:$E$204,2,0),"")</f>
        <v>BENEŠOV</v>
      </c>
      <c r="I17" s="282"/>
      <c r="J17" s="317" t="s">
        <v>837</v>
      </c>
      <c r="K17" s="304" t="s">
        <v>838</v>
      </c>
      <c r="M17" s="305">
        <f>IF(ISNUMBER(SEARCH(ZAKL_DATA!$B$29,N17)),MAX($M$2:M16)+1,0)</f>
        <v>15</v>
      </c>
      <c r="N17" s="306" t="s">
        <v>839</v>
      </c>
      <c r="O17" s="307" t="s">
        <v>840</v>
      </c>
      <c r="P17" s="308"/>
      <c r="Q17" s="309" t="str">
        <f>IFERROR(VLOOKUP(ROWS($Q$3:Q17),$M$3:$N$992,2,0),"")</f>
        <v>Množení rostlin</v>
      </c>
      <c r="R17">
        <f>IF(ISNUMBER(SEARCH('1Př1'!$A$32,N17)),MAX($M$2:M16)+1,0)</f>
        <v>15</v>
      </c>
      <c r="S17" s="306" t="s">
        <v>839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306" t="s">
        <v>839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306" t="s">
        <v>839</v>
      </c>
      <c r="Z17" t="str">
        <f>IFERROR(VLOOKUP(ROWS($Z$3:Z17),$X$3:$Y$992,2,0),"")</f>
        <v>Množení rostlin</v>
      </c>
    </row>
    <row r="18" spans="1:26" ht="12.75" customHeight="1">
      <c r="A18" s="282"/>
      <c r="B18" s="282"/>
      <c r="C18" s="282"/>
      <c r="D18" s="298">
        <f>IF(ISNUMBER(SEARCH(ZAKL_DATA!$B$14,E18)),MAX($D$2:D17)+1,0)</f>
        <v>16</v>
      </c>
      <c r="E18" s="312" t="s">
        <v>841</v>
      </c>
      <c r="F18" s="313">
        <v>2104</v>
      </c>
      <c r="G18" s="314"/>
      <c r="H18" s="315" t="str">
        <f>IFERROR(VLOOKUP(ROWS($H$3:H18),$D$3:$E$204,2,0),"")</f>
        <v>BEROUN</v>
      </c>
      <c r="I18" s="282"/>
      <c r="J18" s="317" t="s">
        <v>842</v>
      </c>
      <c r="K18" s="304" t="s">
        <v>843</v>
      </c>
      <c r="M18" s="305">
        <f>IF(ISNUMBER(SEARCH(ZAKL_DATA!$B$29,N18)),MAX($M$2:M17)+1,0)</f>
        <v>16</v>
      </c>
      <c r="N18" s="306" t="s">
        <v>844</v>
      </c>
      <c r="O18" s="307" t="s">
        <v>845</v>
      </c>
      <c r="P18" s="308"/>
      <c r="Q18" s="309" t="str">
        <f>IFERROR(VLOOKUP(ROWS($Q$3:Q18),$M$3:$N$992,2,0),"")</f>
        <v>Výroba oděvů</v>
      </c>
      <c r="R18">
        <f>IF(ISNUMBER(SEARCH('1Př1'!$A$32,N18)),MAX($M$2:M17)+1,0)</f>
        <v>16</v>
      </c>
      <c r="S18" s="306" t="s">
        <v>844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306" t="s">
        <v>844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306" t="s">
        <v>844</v>
      </c>
      <c r="Z18" t="str">
        <f>IFERROR(VLOOKUP(ROWS($Z$3:Z18),$X$3:$Y$992,2,0),"")</f>
        <v>Výroba oděvů</v>
      </c>
    </row>
    <row r="19" spans="1:26" ht="12.75" customHeight="1">
      <c r="A19" s="282"/>
      <c r="B19" s="282"/>
      <c r="C19" s="282"/>
      <c r="D19" s="298">
        <f>IF(ISNUMBER(SEARCH(ZAKL_DATA!$B$14,E19)),MAX($D$2:D18)+1,0)</f>
        <v>17</v>
      </c>
      <c r="E19" s="312" t="s">
        <v>846</v>
      </c>
      <c r="F19" s="313">
        <v>2105</v>
      </c>
      <c r="G19" s="314"/>
      <c r="H19" s="315" t="str">
        <f>IFERROR(VLOOKUP(ROWS($H$3:H19),$D$3:$E$204,2,0),"")</f>
        <v>BRANDÝS N.L. - ST.BOL.</v>
      </c>
      <c r="I19" s="282"/>
      <c r="J19" s="317" t="s">
        <v>847</v>
      </c>
      <c r="K19" s="304" t="s">
        <v>848</v>
      </c>
      <c r="M19" s="305">
        <f>IF(ISNUMBER(SEARCH(ZAKL_DATA!$B$29,N19)),MAX($M$2:M18)+1,0)</f>
        <v>17</v>
      </c>
      <c r="N19" s="306" t="s">
        <v>849</v>
      </c>
      <c r="O19" s="307" t="s">
        <v>850</v>
      </c>
      <c r="P19" s="308"/>
      <c r="Q19" s="309" t="str">
        <f>IFERROR(VLOOKUP(ROWS($Q$3:Q19),$M$3:$N$992,2,0),"")</f>
        <v>živočišná výroba</v>
      </c>
      <c r="R19">
        <f>IF(ISNUMBER(SEARCH('1Př1'!$A$32,N19)),MAX($M$2:M18)+1,0)</f>
        <v>17</v>
      </c>
      <c r="S19" s="306" t="s">
        <v>849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306" t="s">
        <v>849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306" t="s">
        <v>849</v>
      </c>
      <c r="Z19" t="str">
        <f>IFERROR(VLOOKUP(ROWS($Z$3:Z19),$X$3:$Y$992,2,0),"")</f>
        <v>živočišná výroba</v>
      </c>
    </row>
    <row r="20" spans="1:26" ht="12.75" customHeight="1">
      <c r="A20" s="282"/>
      <c r="B20" s="282"/>
      <c r="C20" s="282"/>
      <c r="D20" s="298">
        <f>IF(ISNUMBER(SEARCH(ZAKL_DATA!$B$14,E20)),MAX($D$2:D19)+1,0)</f>
        <v>18</v>
      </c>
      <c r="E20" s="312" t="s">
        <v>851</v>
      </c>
      <c r="F20" s="313">
        <v>2106</v>
      </c>
      <c r="G20" s="314"/>
      <c r="H20" s="315" t="str">
        <f>IFERROR(VLOOKUP(ROWS($H$3:H20),$D$3:$E$204,2,0),"")</f>
        <v>ČÁSLAV</v>
      </c>
      <c r="I20" s="282"/>
      <c r="J20" s="317" t="s">
        <v>852</v>
      </c>
      <c r="K20" s="304" t="s">
        <v>853</v>
      </c>
      <c r="M20" s="305">
        <f>IF(ISNUMBER(SEARCH(ZAKL_DATA!$B$29,N20)),MAX($M$2:M19)+1,0)</f>
        <v>18</v>
      </c>
      <c r="N20" s="306" t="s">
        <v>854</v>
      </c>
      <c r="O20" s="307" t="s">
        <v>855</v>
      </c>
      <c r="P20" s="308"/>
      <c r="Q20" s="309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306" t="s">
        <v>854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306" t="s">
        <v>854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306" t="s">
        <v>854</v>
      </c>
      <c r="Z20" t="str">
        <f>IFERROR(VLOOKUP(ROWS($Z$3:Z20),$X$3:$Y$992,2,0),"")</f>
        <v>Výroba usní a souvisejících výrobků</v>
      </c>
    </row>
    <row r="21" spans="1:26" ht="12.75" customHeight="1">
      <c r="A21" s="282"/>
      <c r="B21" s="282"/>
      <c r="C21" s="282"/>
      <c r="D21" s="298">
        <f>IF(ISNUMBER(SEARCH(ZAKL_DATA!$B$14,E21)),MAX($D$2:D20)+1,0)</f>
        <v>19</v>
      </c>
      <c r="E21" s="312" t="s">
        <v>856</v>
      </c>
      <c r="F21" s="313">
        <v>2107</v>
      </c>
      <c r="G21" s="314"/>
      <c r="H21" s="315" t="str">
        <f>IFERROR(VLOOKUP(ROWS($H$3:H21),$D$3:$E$204,2,0),"")</f>
        <v>ČESKÝ BROD</v>
      </c>
      <c r="I21" s="282"/>
      <c r="J21" s="317" t="s">
        <v>857</v>
      </c>
      <c r="K21" s="304" t="s">
        <v>858</v>
      </c>
      <c r="M21" s="305">
        <f>IF(ISNUMBER(SEARCH(ZAKL_DATA!$B$29,N21)),MAX($M$2:M20)+1,0)</f>
        <v>19</v>
      </c>
      <c r="N21" s="306" t="s">
        <v>859</v>
      </c>
      <c r="O21" s="307" t="s">
        <v>860</v>
      </c>
      <c r="P21" s="308"/>
      <c r="Q21" s="309" t="str">
        <f>IFERROR(VLOOKUP(ROWS($Q$3:Q21),$M$3:$N$992,2,0),"")</f>
        <v>Smíšené hospodářství</v>
      </c>
      <c r="R21">
        <f>IF(ISNUMBER(SEARCH('1Př1'!$A$32,N21)),MAX($M$2:M20)+1,0)</f>
        <v>19</v>
      </c>
      <c r="S21" s="306" t="s">
        <v>859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306" t="s">
        <v>859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306" t="s">
        <v>859</v>
      </c>
      <c r="Z21" t="str">
        <f>IFERROR(VLOOKUP(ROWS($Z$3:Z21),$X$3:$Y$992,2,0),"")</f>
        <v>Smíšené hospodářství</v>
      </c>
    </row>
    <row r="22" spans="1:26" ht="12.75" customHeight="1">
      <c r="A22" s="282"/>
      <c r="B22" s="282"/>
      <c r="C22" s="282"/>
      <c r="D22" s="298">
        <f>IF(ISNUMBER(SEARCH(ZAKL_DATA!$B$14,E22)),MAX($D$2:D21)+1,0)</f>
        <v>20</v>
      </c>
      <c r="E22" s="312" t="s">
        <v>861</v>
      </c>
      <c r="F22" s="313">
        <v>2108</v>
      </c>
      <c r="G22" s="314"/>
      <c r="H22" s="315" t="str">
        <f>IFERROR(VLOOKUP(ROWS($H$3:H22),$D$3:$E$204,2,0),"")</f>
        <v>DOBŘÍŠ</v>
      </c>
      <c r="I22" s="282"/>
      <c r="J22" s="317" t="s">
        <v>862</v>
      </c>
      <c r="K22" s="304" t="s">
        <v>863</v>
      </c>
      <c r="M22" s="305">
        <f>IF(ISNUMBER(SEARCH(ZAKL_DATA!$B$29,N22)),MAX($M$2:M21)+1,0)</f>
        <v>20</v>
      </c>
      <c r="N22" s="306" t="s">
        <v>864</v>
      </c>
      <c r="O22" s="307" t="s">
        <v>865</v>
      </c>
      <c r="P22" s="308"/>
      <c r="Q22" s="309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306" t="s">
        <v>864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306" t="s">
        <v>864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306" t="s">
        <v>864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282"/>
      <c r="B23" s="282"/>
      <c r="C23" s="282"/>
      <c r="D23" s="298">
        <f>IF(ISNUMBER(SEARCH(ZAKL_DATA!$B$14,E23)),MAX($D$2:D22)+1,0)</f>
        <v>21</v>
      </c>
      <c r="E23" s="312" t="s">
        <v>866</v>
      </c>
      <c r="F23" s="313">
        <v>2109</v>
      </c>
      <c r="G23" s="314"/>
      <c r="H23" s="315" t="str">
        <f>IFERROR(VLOOKUP(ROWS($H$3:H23),$D$3:$E$204,2,0),"")</f>
        <v>HOŘOVICE</v>
      </c>
      <c r="I23" s="282"/>
      <c r="J23" s="317" t="s">
        <v>867</v>
      </c>
      <c r="K23" s="304" t="s">
        <v>868</v>
      </c>
      <c r="M23" s="305">
        <f>IF(ISNUMBER(SEARCH(ZAKL_DATA!$B$29,N23)),MAX($M$2:M22)+1,0)</f>
        <v>21</v>
      </c>
      <c r="N23" s="306" t="s">
        <v>869</v>
      </c>
      <c r="O23" s="307" t="s">
        <v>870</v>
      </c>
      <c r="P23" s="308"/>
      <c r="Q23" s="309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306" t="s">
        <v>869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306" t="s">
        <v>869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306" t="s">
        <v>869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282"/>
      <c r="B24" s="282"/>
      <c r="C24" s="282"/>
      <c r="D24" s="298">
        <f>IF(ISNUMBER(SEARCH(ZAKL_DATA!$B$14,E24)),MAX($D$2:D23)+1,0)</f>
        <v>22</v>
      </c>
      <c r="E24" s="312" t="s">
        <v>871</v>
      </c>
      <c r="F24" s="313">
        <v>2110</v>
      </c>
      <c r="G24" s="314"/>
      <c r="H24" s="315" t="str">
        <f>IFERROR(VLOOKUP(ROWS($H$3:H24),$D$3:$E$204,2,0),"")</f>
        <v>KLADNO</v>
      </c>
      <c r="I24" s="282"/>
      <c r="J24" s="317" t="s">
        <v>872</v>
      </c>
      <c r="K24" s="304" t="s">
        <v>873</v>
      </c>
      <c r="M24" s="305">
        <f>IF(ISNUMBER(SEARCH(ZAKL_DATA!$B$29,N24)),MAX($M$2:M23)+1,0)</f>
        <v>22</v>
      </c>
      <c r="N24" s="306" t="s">
        <v>874</v>
      </c>
      <c r="O24" s="307" t="s">
        <v>875</v>
      </c>
      <c r="P24" s="308"/>
      <c r="Q24" s="309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306" t="s">
        <v>874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306" t="s">
        <v>874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306" t="s">
        <v>874</v>
      </c>
      <c r="Z24" t="str">
        <f>IFERROR(VLOOKUP(ROWS($Z$3:Z24),$X$3:$Y$992,2,0),"")</f>
        <v>Výroba papíru a výrobků z papíru</v>
      </c>
    </row>
    <row r="25" spans="1:26" ht="12.75" customHeight="1">
      <c r="A25" s="282"/>
      <c r="B25" s="282"/>
      <c r="C25" s="282"/>
      <c r="D25" s="298">
        <f>IF(ISNUMBER(SEARCH(ZAKL_DATA!$B$14,E25)),MAX($D$2:D24)+1,0)</f>
        <v>23</v>
      </c>
      <c r="E25" s="312" t="s">
        <v>876</v>
      </c>
      <c r="F25" s="313">
        <v>2111</v>
      </c>
      <c r="G25" s="314"/>
      <c r="H25" s="315" t="str">
        <f>IFERROR(VLOOKUP(ROWS($H$3:H25),$D$3:$E$204,2,0),"")</f>
        <v>KOLÍN</v>
      </c>
      <c r="I25" s="282"/>
      <c r="J25" s="317" t="s">
        <v>877</v>
      </c>
      <c r="K25" s="304" t="s">
        <v>878</v>
      </c>
      <c r="M25" s="305">
        <f>IF(ISNUMBER(SEARCH(ZAKL_DATA!$B$29,N25)),MAX($M$2:M24)+1,0)</f>
        <v>23</v>
      </c>
      <c r="N25" s="306" t="s">
        <v>879</v>
      </c>
      <c r="O25" s="307" t="s">
        <v>880</v>
      </c>
      <c r="P25" s="308"/>
      <c r="Q25" s="309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306" t="s">
        <v>879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306" t="s">
        <v>879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306" t="s">
        <v>879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282"/>
      <c r="B26" s="282"/>
      <c r="C26" s="282"/>
      <c r="D26" s="298">
        <f>IF(ISNUMBER(SEARCH(ZAKL_DATA!$B$14,E26)),MAX($D$2:D25)+1,0)</f>
        <v>24</v>
      </c>
      <c r="E26" s="312" t="s">
        <v>881</v>
      </c>
      <c r="F26" s="313">
        <v>2112</v>
      </c>
      <c r="G26" s="314"/>
      <c r="H26" s="315" t="str">
        <f>IFERROR(VLOOKUP(ROWS($H$3:H26),$D$3:$E$204,2,0),"")</f>
        <v>KRALUPY NAD VLTAVOU</v>
      </c>
      <c r="I26" s="282"/>
      <c r="J26" s="317" t="s">
        <v>882</v>
      </c>
      <c r="K26" s="304" t="s">
        <v>883</v>
      </c>
      <c r="M26" s="305">
        <f>IF(ISNUMBER(SEARCH(ZAKL_DATA!$B$29,N26)),MAX($M$2:M25)+1,0)</f>
        <v>24</v>
      </c>
      <c r="N26" s="306" t="s">
        <v>884</v>
      </c>
      <c r="O26" s="307" t="s">
        <v>885</v>
      </c>
      <c r="P26" s="308"/>
      <c r="Q26" s="309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306" t="s">
        <v>884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306" t="s">
        <v>884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306" t="s">
        <v>884</v>
      </c>
      <c r="Z26" t="str">
        <f>IFERROR(VLOOKUP(ROWS($Z$3:Z26),$X$3:$Y$992,2,0),"")</f>
        <v>Tisk a rozmnožování nahraných nosičů</v>
      </c>
    </row>
    <row r="27" spans="1:26" ht="12.75" customHeight="1">
      <c r="A27" s="282"/>
      <c r="B27" s="282"/>
      <c r="C27" s="282"/>
      <c r="D27" s="298">
        <f>IF(ISNUMBER(SEARCH(ZAKL_DATA!$B$14,E27)),MAX($D$2:D26)+1,0)</f>
        <v>25</v>
      </c>
      <c r="E27" s="312" t="s">
        <v>886</v>
      </c>
      <c r="F27" s="313">
        <v>2113</v>
      </c>
      <c r="G27" s="314"/>
      <c r="H27" s="315" t="str">
        <f>IFERROR(VLOOKUP(ROWS($H$3:H27),$D$3:$E$204,2,0),"")</f>
        <v>KUTNÁ HORA</v>
      </c>
      <c r="I27" s="282"/>
      <c r="J27" s="317" t="s">
        <v>887</v>
      </c>
      <c r="K27" s="304" t="s">
        <v>888</v>
      </c>
      <c r="M27" s="305">
        <f>IF(ISNUMBER(SEARCH(ZAKL_DATA!$B$29,N27)),MAX($M$2:M26)+1,0)</f>
        <v>25</v>
      </c>
      <c r="N27" s="306" t="s">
        <v>889</v>
      </c>
      <c r="O27" s="307" t="s">
        <v>890</v>
      </c>
      <c r="P27" s="308"/>
      <c r="Q27" s="309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306" t="s">
        <v>889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306" t="s">
        <v>889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306" t="s">
        <v>889</v>
      </c>
      <c r="Z27" t="str">
        <f>IFERROR(VLOOKUP(ROWS($Z$3:Z27),$X$3:$Y$992,2,0),"")</f>
        <v>Výroba koksu a rafinovaných ropných produktů</v>
      </c>
    </row>
    <row r="28" spans="1:26" ht="12.75" customHeight="1">
      <c r="A28" s="282"/>
      <c r="B28" s="282"/>
      <c r="C28" s="282"/>
      <c r="D28" s="298">
        <f>IF(ISNUMBER(SEARCH(ZAKL_DATA!$B$14,E28)),MAX($D$2:D27)+1,0)</f>
        <v>26</v>
      </c>
      <c r="E28" s="312" t="s">
        <v>891</v>
      </c>
      <c r="F28" s="313">
        <v>2114</v>
      </c>
      <c r="G28" s="314"/>
      <c r="H28" s="315" t="str">
        <f>IFERROR(VLOOKUP(ROWS($H$3:H28),$D$3:$E$204,2,0),"")</f>
        <v>MĚLNÍK</v>
      </c>
      <c r="I28" s="282"/>
      <c r="J28" s="317" t="s">
        <v>892</v>
      </c>
      <c r="K28" s="304" t="s">
        <v>893</v>
      </c>
      <c r="M28" s="305">
        <f>IF(ISNUMBER(SEARCH(ZAKL_DATA!$B$29,N28)),MAX($M$2:M27)+1,0)</f>
        <v>26</v>
      </c>
      <c r="N28" s="306" t="s">
        <v>894</v>
      </c>
      <c r="O28" s="307" t="s">
        <v>895</v>
      </c>
      <c r="P28" s="308"/>
      <c r="Q28" s="309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306" t="s">
        <v>894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306" t="s">
        <v>894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306" t="s">
        <v>894</v>
      </c>
      <c r="Z28" t="str">
        <f>IFERROR(VLOOKUP(ROWS($Z$3:Z28),$X$3:$Y$992,2,0),"")</f>
        <v>Výroba chemických látek a chemických přípravků</v>
      </c>
    </row>
    <row r="29" spans="1:26" ht="12.75" customHeight="1">
      <c r="A29" s="282"/>
      <c r="B29" s="282"/>
      <c r="C29" s="282"/>
      <c r="D29" s="298">
        <f>IF(ISNUMBER(SEARCH(ZAKL_DATA!$B$14,E29)),MAX($D$2:D28)+1,0)</f>
        <v>27</v>
      </c>
      <c r="E29" s="312" t="s">
        <v>896</v>
      </c>
      <c r="F29" s="313">
        <v>2115</v>
      </c>
      <c r="G29" s="314"/>
      <c r="H29" s="315" t="str">
        <f>IFERROR(VLOOKUP(ROWS($H$3:H29),$D$3:$E$204,2,0),"")</f>
        <v>MLADÁ BOLESLAV</v>
      </c>
      <c r="I29" s="282"/>
      <c r="J29" s="317" t="s">
        <v>897</v>
      </c>
      <c r="K29" s="304" t="s">
        <v>898</v>
      </c>
      <c r="M29" s="305">
        <f>IF(ISNUMBER(SEARCH(ZAKL_DATA!$B$29,N29)),MAX($M$2:M28)+1,0)</f>
        <v>27</v>
      </c>
      <c r="N29" s="306" t="s">
        <v>899</v>
      </c>
      <c r="O29" s="307" t="s">
        <v>900</v>
      </c>
      <c r="P29" s="308"/>
      <c r="Q29" s="309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306" t="s">
        <v>899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306" t="s">
        <v>899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306" t="s">
        <v>899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282"/>
      <c r="B30" s="282"/>
      <c r="C30" s="282"/>
      <c r="D30" s="298">
        <f>IF(ISNUMBER(SEARCH(ZAKL_DATA!$B$14,E30)),MAX($D$2:D29)+1,0)</f>
        <v>28</v>
      </c>
      <c r="E30" s="312" t="s">
        <v>901</v>
      </c>
      <c r="F30" s="313">
        <v>2116</v>
      </c>
      <c r="G30" s="314"/>
      <c r="H30" s="315" t="str">
        <f>IFERROR(VLOOKUP(ROWS($H$3:H30),$D$3:$E$204,2,0),"")</f>
        <v>MNICHOVO HRADIŠTĚ</v>
      </c>
      <c r="I30" s="282"/>
      <c r="J30" s="317" t="s">
        <v>902</v>
      </c>
      <c r="K30" s="304" t="s">
        <v>903</v>
      </c>
      <c r="M30" s="305">
        <f>IF(ISNUMBER(SEARCH(ZAKL_DATA!$B$29,N30)),MAX($M$2:M29)+1,0)</f>
        <v>28</v>
      </c>
      <c r="N30" s="306" t="s">
        <v>904</v>
      </c>
      <c r="O30" s="307" t="s">
        <v>905</v>
      </c>
      <c r="P30" s="308"/>
      <c r="Q30" s="309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306" t="s">
        <v>904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306" t="s">
        <v>904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306" t="s">
        <v>904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282"/>
      <c r="B31" s="282"/>
      <c r="C31" s="282"/>
      <c r="D31" s="298">
        <f>IF(ISNUMBER(SEARCH(ZAKL_DATA!$B$14,E31)),MAX($D$2:D30)+1,0)</f>
        <v>29</v>
      </c>
      <c r="E31" s="312" t="s">
        <v>906</v>
      </c>
      <c r="F31" s="313">
        <v>2117</v>
      </c>
      <c r="G31" s="314"/>
      <c r="H31" s="315" t="str">
        <f>IFERROR(VLOOKUP(ROWS($H$3:H31),$D$3:$E$204,2,0),"")</f>
        <v>NERATOVICE</v>
      </c>
      <c r="I31" s="282"/>
      <c r="J31" s="317" t="s">
        <v>907</v>
      </c>
      <c r="K31" s="304" t="s">
        <v>908</v>
      </c>
      <c r="M31" s="305">
        <f>IF(ISNUMBER(SEARCH(ZAKL_DATA!$B$29,N31)),MAX($M$2:M30)+1,0)</f>
        <v>29</v>
      </c>
      <c r="N31" s="306" t="s">
        <v>909</v>
      </c>
      <c r="O31" s="307" t="s">
        <v>910</v>
      </c>
      <c r="P31" s="308"/>
      <c r="Q31" s="309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306" t="s">
        <v>909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306" t="s">
        <v>909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306" t="s">
        <v>909</v>
      </c>
      <c r="Z31" t="str">
        <f>IFERROR(VLOOKUP(ROWS($Z$3:Z31),$X$3:$Y$992,2,0),"")</f>
        <v>Výroba pryžových a plastových výrobků</v>
      </c>
    </row>
    <row r="32" spans="1:26" ht="12.75" customHeight="1">
      <c r="A32" s="282"/>
      <c r="B32" s="282"/>
      <c r="C32" s="282"/>
      <c r="D32" s="298">
        <f>IF(ISNUMBER(SEARCH(ZAKL_DATA!$B$14,E32)),MAX($D$2:D31)+1,0)</f>
        <v>30</v>
      </c>
      <c r="E32" s="312" t="s">
        <v>911</v>
      </c>
      <c r="F32" s="313">
        <v>2118</v>
      </c>
      <c r="G32" s="314"/>
      <c r="H32" s="315" t="str">
        <f>IFERROR(VLOOKUP(ROWS($H$3:H32),$D$3:$E$204,2,0),"")</f>
        <v>NYMBURK</v>
      </c>
      <c r="I32" s="282"/>
      <c r="J32" s="317" t="s">
        <v>912</v>
      </c>
      <c r="K32" s="304" t="s">
        <v>913</v>
      </c>
      <c r="M32" s="305">
        <f>IF(ISNUMBER(SEARCH(ZAKL_DATA!$B$29,N32)),MAX($M$2:M31)+1,0)</f>
        <v>30</v>
      </c>
      <c r="N32" s="306" t="s">
        <v>914</v>
      </c>
      <c r="O32" s="307" t="s">
        <v>915</v>
      </c>
      <c r="P32" s="308"/>
      <c r="Q32" s="309" t="str">
        <f>IFERROR(VLOOKUP(ROWS($Q$3:Q32),$M$3:$N$992,2,0),"")</f>
        <v>Těžba dřeva</v>
      </c>
      <c r="R32">
        <f>IF(ISNUMBER(SEARCH('1Př1'!$A$32,N32)),MAX($M$2:M31)+1,0)</f>
        <v>30</v>
      </c>
      <c r="S32" s="306" t="s">
        <v>914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306" t="s">
        <v>914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306" t="s">
        <v>914</v>
      </c>
      <c r="Z32" t="str">
        <f>IFERROR(VLOOKUP(ROWS($Z$3:Z32),$X$3:$Y$992,2,0),"")</f>
        <v>Těžba dřeva</v>
      </c>
    </row>
    <row r="33" spans="1:26" ht="12.75" customHeight="1">
      <c r="A33" s="282"/>
      <c r="B33" s="282"/>
      <c r="C33" s="282"/>
      <c r="D33" s="298">
        <f>IF(ISNUMBER(SEARCH(ZAKL_DATA!$B$14,E33)),MAX($D$2:D32)+1,0)</f>
        <v>31</v>
      </c>
      <c r="E33" s="312" t="s">
        <v>916</v>
      </c>
      <c r="F33" s="313">
        <v>2119</v>
      </c>
      <c r="G33" s="314"/>
      <c r="H33" s="315" t="str">
        <f>IFERROR(VLOOKUP(ROWS($H$3:H33),$D$3:$E$204,2,0),"")</f>
        <v>PODĚBRADY</v>
      </c>
      <c r="I33" s="282"/>
      <c r="J33" s="317" t="s">
        <v>917</v>
      </c>
      <c r="K33" s="304" t="s">
        <v>918</v>
      </c>
      <c r="M33" s="305">
        <f>IF(ISNUMBER(SEARCH(ZAKL_DATA!$B$29,N33)),MAX($M$2:M32)+1,0)</f>
        <v>31</v>
      </c>
      <c r="N33" s="306" t="s">
        <v>919</v>
      </c>
      <c r="O33" s="307" t="s">
        <v>920</v>
      </c>
      <c r="P33" s="308"/>
      <c r="Q33" s="309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306" t="s">
        <v>919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306" t="s">
        <v>919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306" t="s">
        <v>919</v>
      </c>
      <c r="Z33" t="str">
        <f>IFERROR(VLOOKUP(ROWS($Z$3:Z33),$X$3:$Y$992,2,0),"")</f>
        <v>Výroba ostatních nekovových minerálních výrobků</v>
      </c>
    </row>
    <row r="34" spans="1:26" ht="12.75" customHeight="1">
      <c r="A34" s="282"/>
      <c r="B34" s="282"/>
      <c r="C34" s="282"/>
      <c r="D34" s="298">
        <f>IF(ISNUMBER(SEARCH(ZAKL_DATA!$B$14,E34)),MAX($D$2:D33)+1,0)</f>
        <v>32</v>
      </c>
      <c r="E34" s="312" t="s">
        <v>921</v>
      </c>
      <c r="F34" s="313">
        <v>2120</v>
      </c>
      <c r="G34" s="314"/>
      <c r="H34" s="315" t="str">
        <f>IFERROR(VLOOKUP(ROWS($H$3:H34),$D$3:$E$204,2,0),"")</f>
        <v>PŘÍBRAM</v>
      </c>
      <c r="I34" s="282"/>
      <c r="J34" s="317" t="s">
        <v>922</v>
      </c>
      <c r="K34" s="304" t="s">
        <v>923</v>
      </c>
      <c r="M34" s="305">
        <f>IF(ISNUMBER(SEARCH(ZAKL_DATA!$B$29,N34)),MAX($M$2:M33)+1,0)</f>
        <v>32</v>
      </c>
      <c r="N34" s="306" t="s">
        <v>924</v>
      </c>
      <c r="O34" s="307" t="s">
        <v>925</v>
      </c>
      <c r="P34" s="308"/>
      <c r="Q34" s="309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306" t="s">
        <v>924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306" t="s">
        <v>924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306" t="s">
        <v>924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282"/>
      <c r="B35" s="282"/>
      <c r="C35" s="282"/>
      <c r="D35" s="298">
        <f>IF(ISNUMBER(SEARCH(ZAKL_DATA!$B$14,E35)),MAX($D$2:D34)+1,0)</f>
        <v>33</v>
      </c>
      <c r="E35" s="312" t="s">
        <v>926</v>
      </c>
      <c r="F35" s="313">
        <v>2121</v>
      </c>
      <c r="G35" s="314"/>
      <c r="H35" s="315" t="str">
        <f>IFERROR(VLOOKUP(ROWS($H$3:H35),$D$3:$E$204,2,0),"")</f>
        <v>RAKOVNÍK</v>
      </c>
      <c r="I35" s="282"/>
      <c r="J35" s="317" t="s">
        <v>927</v>
      </c>
      <c r="K35" s="304" t="s">
        <v>928</v>
      </c>
      <c r="M35" s="305">
        <f>IF(ISNUMBER(SEARCH(ZAKL_DATA!$B$29,N35)),MAX($M$2:M34)+1,0)</f>
        <v>33</v>
      </c>
      <c r="N35" s="306" t="s">
        <v>929</v>
      </c>
      <c r="O35" s="307" t="s">
        <v>930</v>
      </c>
      <c r="P35" s="308"/>
      <c r="Q35" s="309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306" t="s">
        <v>929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306" t="s">
        <v>929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306" t="s">
        <v>929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282"/>
      <c r="B36" s="282"/>
      <c r="C36" s="282"/>
      <c r="D36" s="298">
        <f>IF(ISNUMBER(SEARCH(ZAKL_DATA!$B$14,E36)),MAX($D$2:D35)+1,0)</f>
        <v>34</v>
      </c>
      <c r="E36" s="312" t="s">
        <v>931</v>
      </c>
      <c r="F36" s="313">
        <v>2122</v>
      </c>
      <c r="G36" s="314"/>
      <c r="H36" s="315" t="str">
        <f>IFERROR(VLOOKUP(ROWS($H$3:H36),$D$3:$E$204,2,0),"")</f>
        <v>ŘÍČANY</v>
      </c>
      <c r="I36" s="282"/>
      <c r="J36" s="317" t="s">
        <v>932</v>
      </c>
      <c r="K36" s="304" t="s">
        <v>933</v>
      </c>
      <c r="M36" s="305">
        <f>IF(ISNUMBER(SEARCH(ZAKL_DATA!$B$29,N36)),MAX($M$2:M35)+1,0)</f>
        <v>34</v>
      </c>
      <c r="N36" s="306" t="s">
        <v>934</v>
      </c>
      <c r="O36" s="307" t="s">
        <v>935</v>
      </c>
      <c r="P36" s="308"/>
      <c r="Q36" s="309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306" t="s">
        <v>934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306" t="s">
        <v>934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306" t="s">
        <v>934</v>
      </c>
      <c r="Z36" t="str">
        <f>IFERROR(VLOOKUP(ROWS($Z$3:Z36),$X$3:$Y$992,2,0),"")</f>
        <v>Podpůrné činnosti pro lesnictví</v>
      </c>
    </row>
    <row r="37" spans="1:26" ht="12.75" customHeight="1">
      <c r="A37" s="282"/>
      <c r="B37" s="282"/>
      <c r="C37" s="282"/>
      <c r="D37" s="298">
        <f>IF(ISNUMBER(SEARCH(ZAKL_DATA!$B$14,E37)),MAX($D$2:D36)+1,0)</f>
        <v>35</v>
      </c>
      <c r="E37" s="312" t="s">
        <v>936</v>
      </c>
      <c r="F37" s="313">
        <v>2123</v>
      </c>
      <c r="G37" s="314"/>
      <c r="H37" s="315" t="str">
        <f>IFERROR(VLOOKUP(ROWS($H$3:H37),$D$3:$E$204,2,0),"")</f>
        <v>SEDLČANY</v>
      </c>
      <c r="I37" s="282"/>
      <c r="J37" s="317" t="s">
        <v>937</v>
      </c>
      <c r="K37" s="304" t="s">
        <v>938</v>
      </c>
      <c r="M37" s="305">
        <f>IF(ISNUMBER(SEARCH(ZAKL_DATA!$B$29,N37)),MAX($M$2:M36)+1,0)</f>
        <v>35</v>
      </c>
      <c r="N37" s="306" t="s">
        <v>939</v>
      </c>
      <c r="O37" s="307" t="s">
        <v>940</v>
      </c>
      <c r="P37" s="308"/>
      <c r="Q37" s="309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306" t="s">
        <v>939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306" t="s">
        <v>939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306" t="s">
        <v>939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282"/>
      <c r="B38" s="282"/>
      <c r="C38" s="282"/>
      <c r="D38" s="298">
        <f>IF(ISNUMBER(SEARCH(ZAKL_DATA!$B$14,E38)),MAX($D$2:D37)+1,0)</f>
        <v>36</v>
      </c>
      <c r="E38" s="312" t="s">
        <v>941</v>
      </c>
      <c r="F38" s="313">
        <v>2124</v>
      </c>
      <c r="G38" s="314"/>
      <c r="H38" s="315" t="str">
        <f>IFERROR(VLOOKUP(ROWS($H$3:H38),$D$3:$E$204,2,0),"")</f>
        <v>SLANÝ</v>
      </c>
      <c r="I38" s="282"/>
      <c r="J38" s="317" t="s">
        <v>942</v>
      </c>
      <c r="K38" s="304" t="s">
        <v>943</v>
      </c>
      <c r="M38" s="305">
        <f>IF(ISNUMBER(SEARCH(ZAKL_DATA!$B$29,N38)),MAX($M$2:M37)+1,0)</f>
        <v>36</v>
      </c>
      <c r="N38" s="306" t="s">
        <v>944</v>
      </c>
      <c r="O38" s="307" t="s">
        <v>945</v>
      </c>
      <c r="P38" s="308"/>
      <c r="Q38" s="309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306" t="s">
        <v>944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306" t="s">
        <v>944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306" t="s">
        <v>944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282"/>
      <c r="B39" s="282"/>
      <c r="C39" s="282"/>
      <c r="D39" s="298">
        <f>IF(ISNUMBER(SEARCH(ZAKL_DATA!$B$14,E39)),MAX($D$2:D38)+1,0)</f>
        <v>37</v>
      </c>
      <c r="E39" s="312" t="s">
        <v>946</v>
      </c>
      <c r="F39" s="313">
        <v>2125</v>
      </c>
      <c r="G39" s="314"/>
      <c r="H39" s="315" t="str">
        <f>IFERROR(VLOOKUP(ROWS($H$3:H39),$D$3:$E$204,2,0),"")</f>
        <v>VLAŠIM</v>
      </c>
      <c r="I39" s="282"/>
      <c r="J39" s="317" t="s">
        <v>947</v>
      </c>
      <c r="K39" s="304" t="s">
        <v>948</v>
      </c>
      <c r="M39" s="305">
        <f>IF(ISNUMBER(SEARCH(ZAKL_DATA!$B$29,N39)),MAX($M$2:M38)+1,0)</f>
        <v>37</v>
      </c>
      <c r="N39" s="306" t="s">
        <v>949</v>
      </c>
      <c r="O39" s="307" t="s">
        <v>950</v>
      </c>
      <c r="P39" s="308"/>
      <c r="Q39" s="309" t="str">
        <f>IFERROR(VLOOKUP(ROWS($Q$3:Q39),$M$3:$N$992,2,0),"")</f>
        <v>Výroba elektrických zařízení</v>
      </c>
      <c r="R39">
        <f>IF(ISNUMBER(SEARCH('1Př1'!$A$32,N39)),MAX($M$2:M38)+1,0)</f>
        <v>37</v>
      </c>
      <c r="S39" s="306" t="s">
        <v>949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306" t="s">
        <v>949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306" t="s">
        <v>949</v>
      </c>
      <c r="Z39" t="str">
        <f>IFERROR(VLOOKUP(ROWS($Z$3:Z39),$X$3:$Y$992,2,0),"")</f>
        <v>Výroba elektrických zařízení</v>
      </c>
    </row>
    <row r="40" spans="1:26" ht="12.75" customHeight="1">
      <c r="A40" s="282"/>
      <c r="B40" s="282"/>
      <c r="C40" s="282"/>
      <c r="D40" s="298">
        <f>IF(ISNUMBER(SEARCH(ZAKL_DATA!$B$14,E40)),MAX($D$2:D39)+1,0)</f>
        <v>38</v>
      </c>
      <c r="E40" s="312" t="s">
        <v>951</v>
      </c>
      <c r="F40" s="313">
        <v>2126</v>
      </c>
      <c r="G40" s="314"/>
      <c r="H40" s="315" t="str">
        <f>IFERROR(VLOOKUP(ROWS($H$3:H40),$D$3:$E$204,2,0),"")</f>
        <v>VOTICE</v>
      </c>
      <c r="I40" s="282"/>
      <c r="J40" s="317" t="s">
        <v>952</v>
      </c>
      <c r="K40" s="304" t="s">
        <v>953</v>
      </c>
      <c r="M40" s="305">
        <f>IF(ISNUMBER(SEARCH(ZAKL_DATA!$B$29,N40)),MAX($M$2:M39)+1,0)</f>
        <v>38</v>
      </c>
      <c r="N40" s="306" t="s">
        <v>954</v>
      </c>
      <c r="O40" s="307" t="s">
        <v>955</v>
      </c>
      <c r="P40" s="308"/>
      <c r="Q40" s="309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306" t="s">
        <v>954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306" t="s">
        <v>954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306" t="s">
        <v>954</v>
      </c>
      <c r="Z40" t="str">
        <f>IFERROR(VLOOKUP(ROWS($Z$3:Z40),$X$3:$Y$992,2,0),"")</f>
        <v>Výroba strojů a zařízení j. n.</v>
      </c>
    </row>
    <row r="41" spans="1:26" ht="12.75" customHeight="1">
      <c r="A41" s="282"/>
      <c r="B41" s="282"/>
      <c r="C41" s="282"/>
      <c r="D41" s="298">
        <f>IF(ISNUMBER(SEARCH(ZAKL_DATA!$B$14,E41)),MAX($D$2:D40)+1,0)</f>
        <v>39</v>
      </c>
      <c r="E41" s="312" t="s">
        <v>956</v>
      </c>
      <c r="F41" s="313">
        <v>2201</v>
      </c>
      <c r="G41" s="314"/>
      <c r="H41" s="315" t="str">
        <f>IFERROR(VLOOKUP(ROWS($H$3:H41),$D$3:$E$204,2,0),"")</f>
        <v>ČESKÉ BUDĚJOVICE</v>
      </c>
      <c r="I41" s="282"/>
      <c r="J41" s="317" t="s">
        <v>957</v>
      </c>
      <c r="K41" s="304" t="s">
        <v>958</v>
      </c>
      <c r="M41" s="305">
        <f>IF(ISNUMBER(SEARCH(ZAKL_DATA!$B$29,N41)),MAX($M$2:M40)+1,0)</f>
        <v>39</v>
      </c>
      <c r="N41" s="306" t="s">
        <v>959</v>
      </c>
      <c r="O41" s="307" t="s">
        <v>960</v>
      </c>
      <c r="P41" s="308"/>
      <c r="Q41" s="309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306" t="s">
        <v>959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306" t="s">
        <v>959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306" t="s">
        <v>959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282"/>
      <c r="B42" s="282"/>
      <c r="C42" s="282"/>
      <c r="D42" s="298">
        <f>IF(ISNUMBER(SEARCH(ZAKL_DATA!$B$14,E42)),MAX($D$2:D41)+1,0)</f>
        <v>40</v>
      </c>
      <c r="E42" s="312" t="s">
        <v>961</v>
      </c>
      <c r="F42" s="313">
        <v>2202</v>
      </c>
      <c r="G42" s="314"/>
      <c r="H42" s="315" t="str">
        <f>IFERROR(VLOOKUP(ROWS($H$3:H42),$D$3:$E$204,2,0),"")</f>
        <v>BLATNÁ</v>
      </c>
      <c r="I42" s="282"/>
      <c r="J42" s="317" t="s">
        <v>962</v>
      </c>
      <c r="K42" s="304" t="s">
        <v>963</v>
      </c>
      <c r="M42" s="305">
        <f>IF(ISNUMBER(SEARCH(ZAKL_DATA!$B$29,N42)),MAX($M$2:M41)+1,0)</f>
        <v>40</v>
      </c>
      <c r="N42" s="306" t="s">
        <v>964</v>
      </c>
      <c r="O42" s="307" t="s">
        <v>965</v>
      </c>
      <c r="P42" s="308"/>
      <c r="Q42" s="309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306" t="s">
        <v>964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306" t="s">
        <v>964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306" t="s">
        <v>964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282"/>
      <c r="B43" s="282"/>
      <c r="C43" s="282"/>
      <c r="D43" s="298">
        <f>IF(ISNUMBER(SEARCH(ZAKL_DATA!$B$14,E43)),MAX($D$2:D42)+1,0)</f>
        <v>41</v>
      </c>
      <c r="E43" s="312" t="s">
        <v>966</v>
      </c>
      <c r="F43" s="313">
        <v>2203</v>
      </c>
      <c r="G43" s="314"/>
      <c r="H43" s="315" t="str">
        <f>IFERROR(VLOOKUP(ROWS($H$3:H43),$D$3:$E$204,2,0),"")</f>
        <v>ČESKÝ KRUMLOV</v>
      </c>
      <c r="I43" s="282"/>
      <c r="J43" s="317" t="s">
        <v>967</v>
      </c>
      <c r="K43" s="304" t="s">
        <v>968</v>
      </c>
      <c r="M43" s="305">
        <f>IF(ISNUMBER(SEARCH(ZAKL_DATA!$B$29,N43)),MAX($M$2:M42)+1,0)</f>
        <v>41</v>
      </c>
      <c r="N43" s="306" t="s">
        <v>969</v>
      </c>
      <c r="O43" s="307" t="s">
        <v>970</v>
      </c>
      <c r="P43" s="308"/>
      <c r="Q43" s="309" t="str">
        <f>IFERROR(VLOOKUP(ROWS($Q$3:Q43),$M$3:$N$992,2,0),"")</f>
        <v>Výroba nábytku</v>
      </c>
      <c r="R43">
        <f>IF(ISNUMBER(SEARCH('1Př1'!$A$32,N43)),MAX($M$2:M42)+1,0)</f>
        <v>41</v>
      </c>
      <c r="S43" s="306" t="s">
        <v>969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306" t="s">
        <v>969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306" t="s">
        <v>969</v>
      </c>
      <c r="Z43" t="str">
        <f>IFERROR(VLOOKUP(ROWS($Z$3:Z43),$X$3:$Y$992,2,0),"")</f>
        <v>Výroba nábytku</v>
      </c>
    </row>
    <row r="44" spans="1:26" ht="12.75" customHeight="1">
      <c r="A44" s="282"/>
      <c r="B44" s="282"/>
      <c r="C44" s="282"/>
      <c r="D44" s="298">
        <f>IF(ISNUMBER(SEARCH(ZAKL_DATA!$B$14,E44)),MAX($D$2:D43)+1,0)</f>
        <v>42</v>
      </c>
      <c r="E44" s="312" t="s">
        <v>971</v>
      </c>
      <c r="F44" s="313">
        <v>2204</v>
      </c>
      <c r="G44" s="314"/>
      <c r="H44" s="315" t="str">
        <f>IFERROR(VLOOKUP(ROWS($H$3:H44),$D$3:$E$204,2,0),"")</f>
        <v>DAČICE</v>
      </c>
      <c r="I44" s="282"/>
      <c r="J44" s="317" t="s">
        <v>972</v>
      </c>
      <c r="K44" s="304" t="s">
        <v>973</v>
      </c>
      <c r="M44" s="305">
        <f>IF(ISNUMBER(SEARCH(ZAKL_DATA!$B$29,N44)),MAX($M$2:M43)+1,0)</f>
        <v>42</v>
      </c>
      <c r="N44" s="306" t="s">
        <v>974</v>
      </c>
      <c r="O44" s="307" t="s">
        <v>975</v>
      </c>
      <c r="P44" s="308"/>
      <c r="Q44" s="309" t="str">
        <f>IFERROR(VLOOKUP(ROWS($Q$3:Q44),$M$3:$N$992,2,0),"")</f>
        <v>Rybolov</v>
      </c>
      <c r="R44">
        <f>IF(ISNUMBER(SEARCH('1Př1'!$A$32,N44)),MAX($M$2:M43)+1,0)</f>
        <v>42</v>
      </c>
      <c r="S44" s="306" t="s">
        <v>974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306" t="s">
        <v>974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306" t="s">
        <v>974</v>
      </c>
      <c r="Z44" t="str">
        <f>IFERROR(VLOOKUP(ROWS($Z$3:Z44),$X$3:$Y$992,2,0),"")</f>
        <v>Rybolov</v>
      </c>
    </row>
    <row r="45" spans="1:26" ht="12.75" customHeight="1">
      <c r="A45" s="282"/>
      <c r="B45" s="282"/>
      <c r="C45" s="282"/>
      <c r="D45" s="298">
        <f>IF(ISNUMBER(SEARCH(ZAKL_DATA!$B$14,E45)),MAX($D$2:D44)+1,0)</f>
        <v>43</v>
      </c>
      <c r="E45" s="312" t="s">
        <v>976</v>
      </c>
      <c r="F45" s="313">
        <v>2205</v>
      </c>
      <c r="G45" s="314"/>
      <c r="H45" s="315" t="str">
        <f>IFERROR(VLOOKUP(ROWS($H$3:H45),$D$3:$E$204,2,0),"")</f>
        <v>JINDŘICHŮV HRADEC</v>
      </c>
      <c r="I45" s="282"/>
      <c r="J45" s="316" t="s">
        <v>977</v>
      </c>
      <c r="K45" s="304" t="s">
        <v>978</v>
      </c>
      <c r="M45" s="305">
        <f>IF(ISNUMBER(SEARCH(ZAKL_DATA!$B$29,N45)),MAX($M$2:M44)+1,0)</f>
        <v>43</v>
      </c>
      <c r="N45" s="306" t="s">
        <v>979</v>
      </c>
      <c r="O45" s="307" t="s">
        <v>980</v>
      </c>
      <c r="P45" s="308"/>
      <c r="Q45" s="309" t="str">
        <f>IFERROR(VLOOKUP(ROWS($Q$3:Q45),$M$3:$N$992,2,0),"")</f>
        <v>Ostatní zpracovatelský průmysl</v>
      </c>
      <c r="R45">
        <f>IF(ISNUMBER(SEARCH('1Př1'!$A$32,N45)),MAX($M$2:M44)+1,0)</f>
        <v>43</v>
      </c>
      <c r="S45" s="306" t="s">
        <v>979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306" t="s">
        <v>979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306" t="s">
        <v>979</v>
      </c>
      <c r="Z45" t="str">
        <f>IFERROR(VLOOKUP(ROWS($Z$3:Z45),$X$3:$Y$992,2,0),"")</f>
        <v>Ostatní zpracovatelský průmysl</v>
      </c>
    </row>
    <row r="46" spans="1:26" ht="12.75" customHeight="1">
      <c r="A46" s="282"/>
      <c r="B46" s="282"/>
      <c r="C46" s="282"/>
      <c r="D46" s="298">
        <f>IF(ISNUMBER(SEARCH(ZAKL_DATA!$B$14,E46)),MAX($D$2:D45)+1,0)</f>
        <v>44</v>
      </c>
      <c r="E46" s="312" t="s">
        <v>981</v>
      </c>
      <c r="F46" s="313">
        <v>2206</v>
      </c>
      <c r="G46" s="314"/>
      <c r="H46" s="315" t="str">
        <f>IFERROR(VLOOKUP(ROWS($H$3:H46),$D$3:$E$204,2,0),"")</f>
        <v>KAPLICE</v>
      </c>
      <c r="I46" s="282"/>
      <c r="J46" s="317" t="s">
        <v>982</v>
      </c>
      <c r="K46" s="304" t="s">
        <v>176</v>
      </c>
      <c r="M46" s="305">
        <f>IF(ISNUMBER(SEARCH(ZAKL_DATA!$B$29,N46)),MAX($M$2:M45)+1,0)</f>
        <v>44</v>
      </c>
      <c r="N46" s="306" t="s">
        <v>983</v>
      </c>
      <c r="O46" s="307" t="s">
        <v>984</v>
      </c>
      <c r="P46" s="308"/>
      <c r="Q46" s="309" t="str">
        <f>IFERROR(VLOOKUP(ROWS($Q$3:Q46),$M$3:$N$992,2,0),"")</f>
        <v>Akvakultura</v>
      </c>
      <c r="R46">
        <f>IF(ISNUMBER(SEARCH('1Př1'!$A$32,N46)),MAX($M$2:M45)+1,0)</f>
        <v>44</v>
      </c>
      <c r="S46" s="306" t="s">
        <v>983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306" t="s">
        <v>983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306" t="s">
        <v>983</v>
      </c>
      <c r="Z46" t="str">
        <f>IFERROR(VLOOKUP(ROWS($Z$3:Z46),$X$3:$Y$992,2,0),"")</f>
        <v>Akvakultura</v>
      </c>
    </row>
    <row r="47" spans="1:26" ht="12.75" customHeight="1">
      <c r="A47" s="282"/>
      <c r="B47" s="282"/>
      <c r="C47" s="282"/>
      <c r="D47" s="298">
        <f>IF(ISNUMBER(SEARCH(ZAKL_DATA!$B$14,E47)),MAX($D$2:D46)+1,0)</f>
        <v>45</v>
      </c>
      <c r="E47" s="312" t="s">
        <v>985</v>
      </c>
      <c r="F47" s="313">
        <v>2207</v>
      </c>
      <c r="G47" s="314"/>
      <c r="H47" s="315" t="str">
        <f>IFERROR(VLOOKUP(ROWS($H$3:H47),$D$3:$E$204,2,0),"")</f>
        <v>MILEVSKO</v>
      </c>
      <c r="I47" s="282"/>
      <c r="J47" s="317" t="s">
        <v>986</v>
      </c>
      <c r="K47" s="304" t="s">
        <v>987</v>
      </c>
      <c r="M47" s="305">
        <f>IF(ISNUMBER(SEARCH(ZAKL_DATA!$B$29,N47)),MAX($M$2:M46)+1,0)</f>
        <v>45</v>
      </c>
      <c r="N47" s="306" t="s">
        <v>988</v>
      </c>
      <c r="O47" s="307" t="s">
        <v>989</v>
      </c>
      <c r="P47" s="308"/>
      <c r="Q47" s="309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306" t="s">
        <v>988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306" t="s">
        <v>988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306" t="s">
        <v>988</v>
      </c>
      <c r="Z47" t="str">
        <f>IFERROR(VLOOKUP(ROWS($Z$3:Z47),$X$3:$Y$992,2,0),"")</f>
        <v>Opravy a instalace strojů a zařízení</v>
      </c>
    </row>
    <row r="48" spans="1:26" ht="12.75" customHeight="1">
      <c r="A48" s="282"/>
      <c r="B48" s="282"/>
      <c r="C48" s="282"/>
      <c r="D48" s="298">
        <f>IF(ISNUMBER(SEARCH(ZAKL_DATA!$B$14,E48)),MAX($D$2:D47)+1,0)</f>
        <v>46</v>
      </c>
      <c r="E48" s="312" t="s">
        <v>990</v>
      </c>
      <c r="F48" s="313">
        <v>2208</v>
      </c>
      <c r="G48" s="314"/>
      <c r="H48" s="315" t="str">
        <f>IFERROR(VLOOKUP(ROWS($H$3:H48),$D$3:$E$204,2,0),"")</f>
        <v>PÍSEK</v>
      </c>
      <c r="I48" s="282"/>
      <c r="J48" s="317" t="s">
        <v>991</v>
      </c>
      <c r="K48" s="304" t="s">
        <v>992</v>
      </c>
      <c r="M48" s="305">
        <f>IF(ISNUMBER(SEARCH(ZAKL_DATA!$B$29,N48)),MAX($M$2:M47)+1,0)</f>
        <v>46</v>
      </c>
      <c r="N48" s="306" t="s">
        <v>993</v>
      </c>
      <c r="O48" s="307" t="s">
        <v>994</v>
      </c>
      <c r="P48" s="308"/>
      <c r="Q48" s="309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306" t="s">
        <v>993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306" t="s">
        <v>993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306" t="s">
        <v>993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282"/>
      <c r="B49" s="282"/>
      <c r="C49" s="282"/>
      <c r="D49" s="298">
        <f>IF(ISNUMBER(SEARCH(ZAKL_DATA!$B$14,E49)),MAX($D$2:D48)+1,0)</f>
        <v>47</v>
      </c>
      <c r="E49" s="312" t="s">
        <v>995</v>
      </c>
      <c r="F49" s="313">
        <v>2209</v>
      </c>
      <c r="G49" s="314"/>
      <c r="H49" s="315" t="str">
        <f>IFERROR(VLOOKUP(ROWS($H$3:H49),$D$3:$E$204,2,0),"")</f>
        <v>PRACHATICE</v>
      </c>
      <c r="I49" s="282"/>
      <c r="J49" s="317" t="s">
        <v>996</v>
      </c>
      <c r="K49" s="304" t="s">
        <v>997</v>
      </c>
      <c r="M49" s="305">
        <f>IF(ISNUMBER(SEARCH(ZAKL_DATA!$B$29,N49)),MAX($M$2:M48)+1,0)</f>
        <v>47</v>
      </c>
      <c r="N49" s="306" t="s">
        <v>998</v>
      </c>
      <c r="O49" s="307" t="s">
        <v>999</v>
      </c>
      <c r="P49" s="308"/>
      <c r="Q49" s="309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306" t="s">
        <v>998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306" t="s">
        <v>998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306" t="s">
        <v>998</v>
      </c>
      <c r="Z49" t="str">
        <f>IFERROR(VLOOKUP(ROWS($Z$3:Z49),$X$3:$Y$992,2,0),"")</f>
        <v>Shromažďování, úprava a rozvod vody</v>
      </c>
    </row>
    <row r="50" spans="1:26" ht="12.75" customHeight="1">
      <c r="A50" s="282"/>
      <c r="B50" s="282"/>
      <c r="C50" s="282"/>
      <c r="D50" s="298">
        <f>IF(ISNUMBER(SEARCH(ZAKL_DATA!$B$14,E50)),MAX($D$2:D49)+1,0)</f>
        <v>48</v>
      </c>
      <c r="E50" s="312" t="s">
        <v>1000</v>
      </c>
      <c r="F50" s="313">
        <v>2210</v>
      </c>
      <c r="G50" s="314"/>
      <c r="H50" s="315" t="str">
        <f>IFERROR(VLOOKUP(ROWS($H$3:H50),$D$3:$E$204,2,0),"")</f>
        <v>SOBĚSLAV</v>
      </c>
      <c r="I50" s="282"/>
      <c r="J50" s="317" t="s">
        <v>1001</v>
      </c>
      <c r="K50" s="304" t="s">
        <v>1002</v>
      </c>
      <c r="M50" s="305">
        <f>IF(ISNUMBER(SEARCH(ZAKL_DATA!$B$29,N50)),MAX($M$2:M49)+1,0)</f>
        <v>48</v>
      </c>
      <c r="N50" s="306" t="s">
        <v>1003</v>
      </c>
      <c r="O50" s="307" t="s">
        <v>1004</v>
      </c>
      <c r="P50" s="308"/>
      <c r="Q50" s="309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306" t="s">
        <v>1003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306" t="s">
        <v>1003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306" t="s">
        <v>1003</v>
      </c>
      <c r="Z50" t="str">
        <f>IFERROR(VLOOKUP(ROWS($Z$3:Z50),$X$3:$Y$992,2,0),"")</f>
        <v>Činnosti související s odpadními vodami</v>
      </c>
    </row>
    <row r="51" spans="1:26" ht="12.75" customHeight="1">
      <c r="A51" s="282"/>
      <c r="B51" s="282"/>
      <c r="C51" s="282"/>
      <c r="D51" s="298">
        <f>IF(ISNUMBER(SEARCH(ZAKL_DATA!$B$14,E51)),MAX($D$2:D50)+1,0)</f>
        <v>49</v>
      </c>
      <c r="E51" s="312" t="s">
        <v>1005</v>
      </c>
      <c r="F51" s="313">
        <v>2211</v>
      </c>
      <c r="G51" s="314"/>
      <c r="H51" s="315" t="str">
        <f>IFERROR(VLOOKUP(ROWS($H$3:H51),$D$3:$E$204,2,0),"")</f>
        <v>STRAKONICE</v>
      </c>
      <c r="I51" s="282"/>
      <c r="J51" s="317" t="s">
        <v>1006</v>
      </c>
      <c r="K51" s="304" t="s">
        <v>1007</v>
      </c>
      <c r="M51" s="305">
        <f>IF(ISNUMBER(SEARCH(ZAKL_DATA!$B$29,N51)),MAX($M$2:M50)+1,0)</f>
        <v>49</v>
      </c>
      <c r="N51" s="306" t="s">
        <v>1008</v>
      </c>
      <c r="O51" s="307" t="s">
        <v>1009</v>
      </c>
      <c r="P51" s="308"/>
      <c r="Q51" s="309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306" t="s">
        <v>1008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306" t="s">
        <v>1008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306" t="s">
        <v>1008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282"/>
      <c r="B52" s="282"/>
      <c r="C52" s="282"/>
      <c r="D52" s="298">
        <f>IF(ISNUMBER(SEARCH(ZAKL_DATA!$B$14,E52)),MAX($D$2:D51)+1,0)</f>
        <v>50</v>
      </c>
      <c r="E52" s="312" t="s">
        <v>1010</v>
      </c>
      <c r="F52" s="313">
        <v>2212</v>
      </c>
      <c r="G52" s="314"/>
      <c r="H52" s="315" t="str">
        <f>IFERROR(VLOOKUP(ROWS($H$3:H52),$D$3:$E$204,2,0),"")</f>
        <v>TÁBOR</v>
      </c>
      <c r="I52" s="282"/>
      <c r="J52" s="317" t="s">
        <v>1011</v>
      </c>
      <c r="K52" s="304" t="s">
        <v>1012</v>
      </c>
      <c r="M52" s="305">
        <f>IF(ISNUMBER(SEARCH(ZAKL_DATA!$B$29,N52)),MAX($M$2:M51)+1,0)</f>
        <v>50</v>
      </c>
      <c r="N52" s="306" t="s">
        <v>1013</v>
      </c>
      <c r="O52" s="307" t="s">
        <v>1014</v>
      </c>
      <c r="P52" s="308"/>
      <c r="Q52" s="309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306" t="s">
        <v>1013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306" t="s">
        <v>1013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306" t="s">
        <v>1013</v>
      </c>
      <c r="Z52" t="str">
        <f>IFERROR(VLOOKUP(ROWS($Z$3:Z52),$X$3:$Y$992,2,0),"")</f>
        <v>Sanace a jiné činnosti související s odpady</v>
      </c>
    </row>
    <row r="53" spans="1:26" ht="12.75" customHeight="1">
      <c r="A53" s="282"/>
      <c r="B53" s="282"/>
      <c r="C53" s="282"/>
      <c r="D53" s="298">
        <f>IF(ISNUMBER(SEARCH(ZAKL_DATA!$B$14,E53)),MAX($D$2:D52)+1,0)</f>
        <v>51</v>
      </c>
      <c r="E53" s="312" t="s">
        <v>1015</v>
      </c>
      <c r="F53" s="313">
        <v>2213</v>
      </c>
      <c r="G53" s="314"/>
      <c r="H53" s="315" t="str">
        <f>IFERROR(VLOOKUP(ROWS($H$3:H53),$D$3:$E$204,2,0),"")</f>
        <v>TRHOVÉ SVINY</v>
      </c>
      <c r="I53" s="282"/>
      <c r="J53" s="317" t="s">
        <v>1016</v>
      </c>
      <c r="K53" s="304" t="s">
        <v>1017</v>
      </c>
      <c r="M53" s="305">
        <f>IF(ISNUMBER(SEARCH(ZAKL_DATA!$B$29,N53)),MAX($M$2:M52)+1,0)</f>
        <v>51</v>
      </c>
      <c r="N53" s="306" t="s">
        <v>1018</v>
      </c>
      <c r="O53" s="307" t="s">
        <v>1019</v>
      </c>
      <c r="P53" s="308"/>
      <c r="Q53" s="309" t="str">
        <f>IFERROR(VLOOKUP(ROWS($Q$3:Q53),$M$3:$N$992,2,0),"")</f>
        <v>Výstavba budov</v>
      </c>
      <c r="R53">
        <f>IF(ISNUMBER(SEARCH('1Př1'!$A$32,N53)),MAX($M$2:M52)+1,0)</f>
        <v>51</v>
      </c>
      <c r="S53" s="306" t="s">
        <v>1018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306" t="s">
        <v>1018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306" t="s">
        <v>1018</v>
      </c>
      <c r="Z53" t="str">
        <f>IFERROR(VLOOKUP(ROWS($Z$3:Z53),$X$3:$Y$992,2,0),"")</f>
        <v>Výstavba budov</v>
      </c>
    </row>
    <row r="54" spans="1:26" ht="12.75" customHeight="1">
      <c r="A54" s="282"/>
      <c r="B54" s="282"/>
      <c r="C54" s="282"/>
      <c r="D54" s="298">
        <f>IF(ISNUMBER(SEARCH(ZAKL_DATA!$B$14,E54)),MAX($D$2:D53)+1,0)</f>
        <v>52</v>
      </c>
      <c r="E54" s="312" t="s">
        <v>1020</v>
      </c>
      <c r="F54" s="313">
        <v>2214</v>
      </c>
      <c r="G54" s="314"/>
      <c r="H54" s="315" t="str">
        <f>IFERROR(VLOOKUP(ROWS($H$3:H54),$D$3:$E$204,2,0),"")</f>
        <v>TŘEBOŇ</v>
      </c>
      <c r="I54" s="282"/>
      <c r="J54" s="317" t="s">
        <v>1021</v>
      </c>
      <c r="K54" s="304" t="s">
        <v>1022</v>
      </c>
      <c r="M54" s="305">
        <f>IF(ISNUMBER(SEARCH(ZAKL_DATA!$B$29,N54)),MAX($M$2:M53)+1,0)</f>
        <v>52</v>
      </c>
      <c r="N54" s="306" t="s">
        <v>1023</v>
      </c>
      <c r="O54" s="307" t="s">
        <v>1024</v>
      </c>
      <c r="P54" s="308"/>
      <c r="Q54" s="309" t="str">
        <f>IFERROR(VLOOKUP(ROWS($Q$3:Q54),$M$3:$N$992,2,0),"")</f>
        <v>Inženýrské stavitelství</v>
      </c>
      <c r="R54">
        <f>IF(ISNUMBER(SEARCH('1Př1'!$A$32,N54)),MAX($M$2:M53)+1,0)</f>
        <v>52</v>
      </c>
      <c r="S54" s="306" t="s">
        <v>1023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306" t="s">
        <v>1023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306" t="s">
        <v>1023</v>
      </c>
      <c r="Z54" t="str">
        <f>IFERROR(VLOOKUP(ROWS($Z$3:Z54),$X$3:$Y$992,2,0),"")</f>
        <v>Inženýrské stavitelství</v>
      </c>
    </row>
    <row r="55" spans="1:26" ht="12.75" customHeight="1">
      <c r="A55" s="282"/>
      <c r="B55" s="282"/>
      <c r="C55" s="282"/>
      <c r="D55" s="298">
        <f>IF(ISNUMBER(SEARCH(ZAKL_DATA!$B$14,E55)),MAX($D$2:D54)+1,0)</f>
        <v>53</v>
      </c>
      <c r="E55" s="312" t="s">
        <v>1025</v>
      </c>
      <c r="F55" s="313">
        <v>2215</v>
      </c>
      <c r="G55" s="314"/>
      <c r="H55" s="315" t="str">
        <f>IFERROR(VLOOKUP(ROWS($H$3:H55),$D$3:$E$204,2,0),"")</f>
        <v>TÝN NAD VLTAVOU</v>
      </c>
      <c r="I55" s="282"/>
      <c r="J55" s="317" t="s">
        <v>1026</v>
      </c>
      <c r="K55" s="304" t="s">
        <v>1027</v>
      </c>
      <c r="M55" s="305">
        <f>IF(ISNUMBER(SEARCH(ZAKL_DATA!$B$29,N55)),MAX($M$2:M54)+1,0)</f>
        <v>53</v>
      </c>
      <c r="N55" s="306" t="s">
        <v>1028</v>
      </c>
      <c r="O55" s="307" t="s">
        <v>1029</v>
      </c>
      <c r="P55" s="308"/>
      <c r="Q55" s="309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306" t="s">
        <v>1028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306" t="s">
        <v>1028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306" t="s">
        <v>1028</v>
      </c>
      <c r="Z55" t="str">
        <f>IFERROR(VLOOKUP(ROWS($Z$3:Z55),$X$3:$Y$992,2,0),"")</f>
        <v>Specializované stavební činnosti</v>
      </c>
    </row>
    <row r="56" spans="1:26" ht="12.75" customHeight="1">
      <c r="A56" s="282"/>
      <c r="B56" s="282"/>
      <c r="C56" s="282"/>
      <c r="D56" s="298">
        <f>IF(ISNUMBER(SEARCH(ZAKL_DATA!$B$14,E56)),MAX($D$2:D55)+1,0)</f>
        <v>54</v>
      </c>
      <c r="E56" s="312" t="s">
        <v>1030</v>
      </c>
      <c r="F56" s="313">
        <v>2216</v>
      </c>
      <c r="G56" s="314"/>
      <c r="H56" s="315" t="str">
        <f>IFERROR(VLOOKUP(ROWS($H$3:H56),$D$3:$E$204,2,0),"")</f>
        <v>VIMPERK</v>
      </c>
      <c r="I56" s="282"/>
      <c r="J56" s="317" t="s">
        <v>1031</v>
      </c>
      <c r="K56" s="304" t="s">
        <v>1032</v>
      </c>
      <c r="M56" s="305">
        <f>IF(ISNUMBER(SEARCH(ZAKL_DATA!$B$29,N56)),MAX($M$2:M55)+1,0)</f>
        <v>54</v>
      </c>
      <c r="N56" s="306" t="s">
        <v>1033</v>
      </c>
      <c r="O56" s="307" t="s">
        <v>1034</v>
      </c>
      <c r="P56" s="308"/>
      <c r="Q56" s="309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306" t="s">
        <v>1033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306" t="s">
        <v>1033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306" t="s">
        <v>1033</v>
      </c>
      <c r="Z56" t="str">
        <f>IFERROR(VLOOKUP(ROWS($Z$3:Z56),$X$3:$Y$992,2,0),"")</f>
        <v>Velkoobchod, maloobchod a opravy motorových vozidel</v>
      </c>
    </row>
    <row r="57" spans="1:26" ht="12.75" customHeight="1">
      <c r="A57" s="282"/>
      <c r="B57" s="282"/>
      <c r="C57" s="282"/>
      <c r="D57" s="298">
        <f>IF(ISNUMBER(SEARCH(ZAKL_DATA!$B$14,E57)),MAX($D$2:D56)+1,0)</f>
        <v>55</v>
      </c>
      <c r="E57" s="312" t="s">
        <v>1035</v>
      </c>
      <c r="F57" s="313">
        <v>2217</v>
      </c>
      <c r="G57" s="314"/>
      <c r="H57" s="315" t="str">
        <f>IFERROR(VLOOKUP(ROWS($H$3:H57),$D$3:$E$204,2,0),"")</f>
        <v>VODŇANY</v>
      </c>
      <c r="I57" s="282"/>
      <c r="J57" s="317" t="s">
        <v>1036</v>
      </c>
      <c r="K57" s="304" t="s">
        <v>1037</v>
      </c>
      <c r="M57" s="305">
        <f>IF(ISNUMBER(SEARCH(ZAKL_DATA!$B$29,N57)),MAX($M$2:M56)+1,0)</f>
        <v>55</v>
      </c>
      <c r="N57" s="306" t="s">
        <v>1038</v>
      </c>
      <c r="O57" s="307" t="s">
        <v>1039</v>
      </c>
      <c r="P57" s="308"/>
      <c r="Q57" s="309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306" t="s">
        <v>1038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306" t="s">
        <v>1038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306" t="s">
        <v>1038</v>
      </c>
      <c r="Z57" t="str">
        <f>IFERROR(VLOOKUP(ROWS($Z$3:Z57),$X$3:$Y$992,2,0),"")</f>
        <v>Velkoobchod, kromě motorových vozidel</v>
      </c>
    </row>
    <row r="58" spans="1:26" ht="12.75" customHeight="1">
      <c r="A58" s="282"/>
      <c r="B58" s="282"/>
      <c r="C58" s="282"/>
      <c r="D58" s="298">
        <f>IF(ISNUMBER(SEARCH(ZAKL_DATA!$B$14,E58)),MAX($D$2:D57)+1,0)</f>
        <v>56</v>
      </c>
      <c r="E58" s="312" t="s">
        <v>1040</v>
      </c>
      <c r="F58" s="313">
        <v>2301</v>
      </c>
      <c r="G58" s="314"/>
      <c r="H58" s="315" t="str">
        <f>IFERROR(VLOOKUP(ROWS($H$3:H58),$D$3:$E$204,2,0),"")</f>
        <v>PLZEŇ</v>
      </c>
      <c r="I58" s="282"/>
      <c r="J58" s="317" t="s">
        <v>1041</v>
      </c>
      <c r="K58" s="304" t="s">
        <v>1042</v>
      </c>
      <c r="M58" s="305">
        <f>IF(ISNUMBER(SEARCH(ZAKL_DATA!$B$29,N58)),MAX($M$2:M57)+1,0)</f>
        <v>56</v>
      </c>
      <c r="N58" s="306" t="s">
        <v>1043</v>
      </c>
      <c r="O58" s="307" t="s">
        <v>1044</v>
      </c>
      <c r="P58" s="308"/>
      <c r="Q58" s="309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306" t="s">
        <v>1043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306" t="s">
        <v>1043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306" t="s">
        <v>1043</v>
      </c>
      <c r="Z58" t="str">
        <f>IFERROR(VLOOKUP(ROWS($Z$3:Z58),$X$3:$Y$992,2,0),"")</f>
        <v>Maloobchod, kromě motorových vozidel</v>
      </c>
    </row>
    <row r="59" spans="1:26" ht="12.75" customHeight="1">
      <c r="A59" s="282"/>
      <c r="B59" s="282"/>
      <c r="C59" s="282"/>
      <c r="D59" s="298">
        <f>IF(ISNUMBER(SEARCH(ZAKL_DATA!$B$14,E59)),MAX($D$2:D58)+1,0)</f>
        <v>57</v>
      </c>
      <c r="E59" s="312" t="s">
        <v>1045</v>
      </c>
      <c r="F59" s="313">
        <v>2302</v>
      </c>
      <c r="G59" s="314"/>
      <c r="H59" s="315" t="str">
        <f>IFERROR(VLOOKUP(ROWS($H$3:H59),$D$3:$E$204,2,0),"")</f>
        <v>PLZEŇ-SEVER</v>
      </c>
      <c r="I59" s="282"/>
      <c r="J59" s="316" t="s">
        <v>1046</v>
      </c>
      <c r="K59" s="304" t="s">
        <v>1047</v>
      </c>
      <c r="M59" s="305">
        <f>IF(ISNUMBER(SEARCH(ZAKL_DATA!$B$29,N59)),MAX($M$2:M58)+1,0)</f>
        <v>57</v>
      </c>
      <c r="N59" s="306" t="s">
        <v>1048</v>
      </c>
      <c r="O59" s="307" t="s">
        <v>1049</v>
      </c>
      <c r="P59" s="308"/>
      <c r="Q59" s="309" t="str">
        <f>IFERROR(VLOOKUP(ROWS($Q$3:Q59),$M$3:$N$992,2,0),"")</f>
        <v>Pozemní a potrubní doprava</v>
      </c>
      <c r="R59">
        <f>IF(ISNUMBER(SEARCH('1Př1'!$A$32,N59)),MAX($M$2:M58)+1,0)</f>
        <v>57</v>
      </c>
      <c r="S59" s="306" t="s">
        <v>1048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306" t="s">
        <v>1048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306" t="s">
        <v>1048</v>
      </c>
      <c r="Z59" t="str">
        <f>IFERROR(VLOOKUP(ROWS($Z$3:Z59),$X$3:$Y$992,2,0),"")</f>
        <v>Pozemní a potrubní doprava</v>
      </c>
    </row>
    <row r="60" spans="1:26" ht="12.75" customHeight="1">
      <c r="A60" s="282"/>
      <c r="B60" s="282"/>
      <c r="C60" s="282"/>
      <c r="D60" s="298">
        <f>IF(ISNUMBER(SEARCH(ZAKL_DATA!$B$14,E60)),MAX($D$2:D59)+1,0)</f>
        <v>58</v>
      </c>
      <c r="E60" s="312" t="s">
        <v>1050</v>
      </c>
      <c r="F60" s="313">
        <v>2303</v>
      </c>
      <c r="G60" s="314"/>
      <c r="H60" s="315" t="str">
        <f>IFERROR(VLOOKUP(ROWS($H$3:H60),$D$3:$E$204,2,0),"")</f>
        <v>PLZEŇ-JIH</v>
      </c>
      <c r="I60" s="282"/>
      <c r="J60" s="317" t="s">
        <v>1051</v>
      </c>
      <c r="K60" s="304" t="s">
        <v>1052</v>
      </c>
      <c r="M60" s="305">
        <f>IF(ISNUMBER(SEARCH(ZAKL_DATA!$B$29,N60)),MAX($M$2:M59)+1,0)</f>
        <v>58</v>
      </c>
      <c r="N60" s="306" t="s">
        <v>1053</v>
      </c>
      <c r="O60" s="307" t="s">
        <v>1054</v>
      </c>
      <c r="P60" s="308"/>
      <c r="Q60" s="309" t="str">
        <f>IFERROR(VLOOKUP(ROWS($Q$3:Q60),$M$3:$N$992,2,0),"")</f>
        <v>Vodní doprava</v>
      </c>
      <c r="R60">
        <f>IF(ISNUMBER(SEARCH('1Př1'!$A$32,N60)),MAX($M$2:M59)+1,0)</f>
        <v>58</v>
      </c>
      <c r="S60" s="306" t="s">
        <v>1053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306" t="s">
        <v>1053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306" t="s">
        <v>1053</v>
      </c>
      <c r="Z60" t="str">
        <f>IFERROR(VLOOKUP(ROWS($Z$3:Z60),$X$3:$Y$992,2,0),"")</f>
        <v>Vodní doprava</v>
      </c>
    </row>
    <row r="61" spans="1:26" ht="12.75" customHeight="1">
      <c r="A61" s="282"/>
      <c r="B61" s="282"/>
      <c r="C61" s="282"/>
      <c r="D61" s="298">
        <f>IF(ISNUMBER(SEARCH(ZAKL_DATA!$B$14,E61)),MAX($D$2:D60)+1,0)</f>
        <v>59</v>
      </c>
      <c r="E61" s="312" t="s">
        <v>1055</v>
      </c>
      <c r="F61" s="313">
        <v>2304</v>
      </c>
      <c r="G61" s="314"/>
      <c r="H61" s="315" t="str">
        <f>IFERROR(VLOOKUP(ROWS($H$3:H61),$D$3:$E$204,2,0),"")</f>
        <v>BLOVICE</v>
      </c>
      <c r="I61" s="282"/>
      <c r="J61" s="317" t="s">
        <v>1056</v>
      </c>
      <c r="K61" s="304" t="s">
        <v>1057</v>
      </c>
      <c r="M61" s="305">
        <f>IF(ISNUMBER(SEARCH(ZAKL_DATA!$B$29,N61)),MAX($M$2:M60)+1,0)</f>
        <v>59</v>
      </c>
      <c r="N61" s="306" t="s">
        <v>1058</v>
      </c>
      <c r="O61" s="307" t="s">
        <v>1059</v>
      </c>
      <c r="P61" s="308"/>
      <c r="Q61" s="309" t="str">
        <f>IFERROR(VLOOKUP(ROWS($Q$3:Q61),$M$3:$N$992,2,0),"")</f>
        <v>Letecká doprava</v>
      </c>
      <c r="R61">
        <f>IF(ISNUMBER(SEARCH('1Př1'!$A$32,N61)),MAX($M$2:M60)+1,0)</f>
        <v>59</v>
      </c>
      <c r="S61" s="306" t="s">
        <v>1058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306" t="s">
        <v>1058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306" t="s">
        <v>1058</v>
      </c>
      <c r="Z61" t="str">
        <f>IFERROR(VLOOKUP(ROWS($Z$3:Z61),$X$3:$Y$992,2,0),"")</f>
        <v>Letecká doprava</v>
      </c>
    </row>
    <row r="62" spans="1:26" ht="12.75" customHeight="1">
      <c r="A62" s="282"/>
      <c r="B62" s="282"/>
      <c r="C62" s="282"/>
      <c r="D62" s="298">
        <f>IF(ISNUMBER(SEARCH(ZAKL_DATA!$B$14,E62)),MAX($D$2:D61)+1,0)</f>
        <v>60</v>
      </c>
      <c r="E62" s="312" t="s">
        <v>1060</v>
      </c>
      <c r="F62" s="313">
        <v>2305</v>
      </c>
      <c r="G62" s="314"/>
      <c r="H62" s="315" t="str">
        <f>IFERROR(VLOOKUP(ROWS($H$3:H62),$D$3:$E$204,2,0),"")</f>
        <v>DOMAŽLICE</v>
      </c>
      <c r="I62" s="282"/>
      <c r="J62" s="317" t="s">
        <v>1061</v>
      </c>
      <c r="K62" s="304" t="s">
        <v>1062</v>
      </c>
      <c r="M62" s="305">
        <f>IF(ISNUMBER(SEARCH(ZAKL_DATA!$B$29,N62)),MAX($M$2:M61)+1,0)</f>
        <v>60</v>
      </c>
      <c r="N62" s="306" t="s">
        <v>1063</v>
      </c>
      <c r="O62" s="307" t="s">
        <v>1064</v>
      </c>
      <c r="P62" s="308"/>
      <c r="Q62" s="309" t="str">
        <f>IFERROR(VLOOKUP(ROWS($Q$3:Q62),$M$3:$N$992,2,0),"")</f>
        <v>Těžba a úprava černého uhlí</v>
      </c>
      <c r="R62">
        <f>IF(ISNUMBER(SEARCH('1Př1'!$A$32,N62)),MAX($M$2:M61)+1,0)</f>
        <v>60</v>
      </c>
      <c r="S62" s="306" t="s">
        <v>1063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306" t="s">
        <v>1063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306" t="s">
        <v>1063</v>
      </c>
      <c r="Z62" t="str">
        <f>IFERROR(VLOOKUP(ROWS($Z$3:Z62),$X$3:$Y$992,2,0),"")</f>
        <v>Těžba a úprava černého uhlí</v>
      </c>
    </row>
    <row r="63" spans="1:26" ht="12.75" customHeight="1">
      <c r="A63" s="282"/>
      <c r="B63" s="282"/>
      <c r="C63" s="282"/>
      <c r="D63" s="298">
        <f>IF(ISNUMBER(SEARCH(ZAKL_DATA!$B$14,E63)),MAX($D$2:D62)+1,0)</f>
        <v>61</v>
      </c>
      <c r="E63" s="312" t="s">
        <v>1065</v>
      </c>
      <c r="F63" s="313">
        <v>2306</v>
      </c>
      <c r="G63" s="314"/>
      <c r="H63" s="315" t="str">
        <f>IFERROR(VLOOKUP(ROWS($H$3:H63),$D$3:$E$204,2,0),"")</f>
        <v>HORAŽĎOVICE</v>
      </c>
      <c r="I63" s="282"/>
      <c r="J63" s="317" t="s">
        <v>1066</v>
      </c>
      <c r="K63" s="304" t="s">
        <v>1067</v>
      </c>
      <c r="M63" s="305">
        <f>IF(ISNUMBER(SEARCH(ZAKL_DATA!$B$29,N63)),MAX($M$2:M62)+1,0)</f>
        <v>61</v>
      </c>
      <c r="N63" s="306" t="s">
        <v>1068</v>
      </c>
      <c r="O63" s="307" t="s">
        <v>1069</v>
      </c>
      <c r="P63" s="308"/>
      <c r="Q63" s="309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306" t="s">
        <v>1068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306" t="s">
        <v>1068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306" t="s">
        <v>1068</v>
      </c>
      <c r="Z63" t="str">
        <f>IFERROR(VLOOKUP(ROWS($Z$3:Z63),$X$3:$Y$992,2,0),"")</f>
        <v>Skladování a vedlejší činnosti v dopravě</v>
      </c>
    </row>
    <row r="64" spans="1:26" ht="12.75" customHeight="1">
      <c r="A64" s="282"/>
      <c r="B64" s="282"/>
      <c r="C64" s="282"/>
      <c r="D64" s="298">
        <f>IF(ISNUMBER(SEARCH(ZAKL_DATA!$B$14,E64)),MAX($D$2:D63)+1,0)</f>
        <v>62</v>
      </c>
      <c r="E64" s="312" t="s">
        <v>1070</v>
      </c>
      <c r="F64" s="313">
        <v>2307</v>
      </c>
      <c r="G64" s="314"/>
      <c r="H64" s="315" t="str">
        <f>IFERROR(VLOOKUP(ROWS($H$3:H64),$D$3:$E$204,2,0),"")</f>
        <v>HORŠOVSKÝ TÝN</v>
      </c>
      <c r="I64" s="282"/>
      <c r="J64" s="317" t="s">
        <v>1071</v>
      </c>
      <c r="K64" s="304" t="s">
        <v>1072</v>
      </c>
      <c r="M64" s="305">
        <f>IF(ISNUMBER(SEARCH(ZAKL_DATA!$B$29,N64)),MAX($M$2:M63)+1,0)</f>
        <v>62</v>
      </c>
      <c r="N64" s="306" t="s">
        <v>1073</v>
      </c>
      <c r="O64" s="307" t="s">
        <v>1074</v>
      </c>
      <c r="P64" s="308"/>
      <c r="Q64" s="309" t="str">
        <f>IFERROR(VLOOKUP(ROWS($Q$3:Q64),$M$3:$N$992,2,0),"")</f>
        <v>Těžba a úprava hnědého uhlí</v>
      </c>
      <c r="R64">
        <f>IF(ISNUMBER(SEARCH('1Př1'!$A$32,N64)),MAX($M$2:M63)+1,0)</f>
        <v>62</v>
      </c>
      <c r="S64" s="306" t="s">
        <v>1073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306" t="s">
        <v>1073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306" t="s">
        <v>1073</v>
      </c>
      <c r="Z64" t="str">
        <f>IFERROR(VLOOKUP(ROWS($Z$3:Z64),$X$3:$Y$992,2,0),"")</f>
        <v>Těžba a úprava hnědého uhlí</v>
      </c>
    </row>
    <row r="65" spans="1:26" ht="12.75" customHeight="1">
      <c r="A65" s="282"/>
      <c r="B65" s="282"/>
      <c r="C65" s="282"/>
      <c r="D65" s="298">
        <f>IF(ISNUMBER(SEARCH(ZAKL_DATA!$B$14,E65)),MAX($D$2:D64)+1,0)</f>
        <v>63</v>
      </c>
      <c r="E65" s="312" t="s">
        <v>1075</v>
      </c>
      <c r="F65" s="313">
        <v>2308</v>
      </c>
      <c r="G65" s="314"/>
      <c r="H65" s="315" t="str">
        <f>IFERROR(VLOOKUP(ROWS($H$3:H65),$D$3:$E$204,2,0),"")</f>
        <v>KLATOVY</v>
      </c>
      <c r="I65" s="282"/>
      <c r="J65" s="317" t="s">
        <v>1076</v>
      </c>
      <c r="K65" s="304" t="s">
        <v>749</v>
      </c>
      <c r="M65" s="305">
        <f>IF(ISNUMBER(SEARCH(ZAKL_DATA!$B$29,N65)),MAX($M$2:M64)+1,0)</f>
        <v>63</v>
      </c>
      <c r="N65" s="306" t="s">
        <v>1077</v>
      </c>
      <c r="O65" s="307" t="s">
        <v>1078</v>
      </c>
      <c r="P65" s="308"/>
      <c r="Q65" s="309" t="str">
        <f>IFERROR(VLOOKUP(ROWS($Q$3:Q65),$M$3:$N$992,2,0),"")</f>
        <v>Poštovní a kurýrní činnosti</v>
      </c>
      <c r="R65">
        <f>IF(ISNUMBER(SEARCH('1Př1'!$A$32,N65)),MAX($M$2:M64)+1,0)</f>
        <v>63</v>
      </c>
      <c r="S65" s="306" t="s">
        <v>1077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306" t="s">
        <v>1077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306" t="s">
        <v>1077</v>
      </c>
      <c r="Z65" t="str">
        <f>IFERROR(VLOOKUP(ROWS($Z$3:Z65),$X$3:$Y$992,2,0),"")</f>
        <v>Poštovní a kurýrní činnosti</v>
      </c>
    </row>
    <row r="66" spans="1:26" ht="12.75" customHeight="1">
      <c r="A66" s="282"/>
      <c r="B66" s="282"/>
      <c r="C66" s="282"/>
      <c r="D66" s="298">
        <f>IF(ISNUMBER(SEARCH(ZAKL_DATA!$B$14,E66)),MAX($D$2:D65)+1,0)</f>
        <v>64</v>
      </c>
      <c r="E66" s="312" t="s">
        <v>1079</v>
      </c>
      <c r="F66" s="313">
        <v>2309</v>
      </c>
      <c r="G66" s="314"/>
      <c r="H66" s="315" t="str">
        <f>IFERROR(VLOOKUP(ROWS($H$3:H66),$D$3:$E$204,2,0),"")</f>
        <v>KRALOVICE</v>
      </c>
      <c r="I66" s="282"/>
      <c r="J66" s="317" t="s">
        <v>1080</v>
      </c>
      <c r="K66" s="304" t="s">
        <v>1081</v>
      </c>
      <c r="M66" s="305">
        <f>IF(ISNUMBER(SEARCH(ZAKL_DATA!$B$29,N66)),MAX($M$2:M65)+1,0)</f>
        <v>64</v>
      </c>
      <c r="N66" s="306" t="s">
        <v>1082</v>
      </c>
      <c r="O66" s="307" t="s">
        <v>1083</v>
      </c>
      <c r="P66" s="308"/>
      <c r="Q66" s="309" t="str">
        <f>IFERROR(VLOOKUP(ROWS($Q$3:Q66),$M$3:$N$992,2,0),"")</f>
        <v>Ubytování</v>
      </c>
      <c r="R66">
        <f>IF(ISNUMBER(SEARCH('1Př1'!$A$32,N66)),MAX($M$2:M65)+1,0)</f>
        <v>64</v>
      </c>
      <c r="S66" s="306" t="s">
        <v>1082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306" t="s">
        <v>1082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306" t="s">
        <v>1082</v>
      </c>
      <c r="Z66" t="str">
        <f>IFERROR(VLOOKUP(ROWS($Z$3:Z66),$X$3:$Y$992,2,0),"")</f>
        <v>Ubytování</v>
      </c>
    </row>
    <row r="67" spans="1:26" ht="12.75" customHeight="1">
      <c r="A67" s="282"/>
      <c r="B67" s="282"/>
      <c r="C67" s="282"/>
      <c r="D67" s="298">
        <f>IF(ISNUMBER(SEARCH(ZAKL_DATA!$B$14,E67)),MAX($D$2:D66)+1,0)</f>
        <v>65</v>
      </c>
      <c r="E67" s="312" t="s">
        <v>1084</v>
      </c>
      <c r="F67" s="313">
        <v>2310</v>
      </c>
      <c r="G67" s="314"/>
      <c r="H67" s="315" t="str">
        <f>IFERROR(VLOOKUP(ROWS($H$3:H67),$D$3:$E$204,2,0),"")</f>
        <v>NEPOMUK</v>
      </c>
      <c r="I67" s="282"/>
      <c r="J67" s="317" t="s">
        <v>1085</v>
      </c>
      <c r="K67" s="304" t="s">
        <v>1086</v>
      </c>
      <c r="M67" s="305">
        <f>IF(ISNUMBER(SEARCH(ZAKL_DATA!$B$29,N67)),MAX($M$2:M66)+1,0)</f>
        <v>65</v>
      </c>
      <c r="N67" s="306" t="s">
        <v>1087</v>
      </c>
      <c r="O67" s="307" t="s">
        <v>1088</v>
      </c>
      <c r="P67" s="308"/>
      <c r="Q67" s="309" t="str">
        <f>IFERROR(VLOOKUP(ROWS($Q$3:Q67),$M$3:$N$992,2,0),"")</f>
        <v>Stravování a pohostinství</v>
      </c>
      <c r="R67">
        <f>IF(ISNUMBER(SEARCH('1Př1'!$A$32,N67)),MAX($M$2:M66)+1,0)</f>
        <v>65</v>
      </c>
      <c r="S67" s="306" t="s">
        <v>1087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306" t="s">
        <v>1087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306" t="s">
        <v>1087</v>
      </c>
      <c r="Z67" t="str">
        <f>IFERROR(VLOOKUP(ROWS($Z$3:Z67),$X$3:$Y$992,2,0),"")</f>
        <v>Stravování a pohostinství</v>
      </c>
    </row>
    <row r="68" spans="1:26" ht="12.75" customHeight="1">
      <c r="A68" s="282"/>
      <c r="B68" s="282"/>
      <c r="C68" s="282"/>
      <c r="D68" s="298">
        <f>IF(ISNUMBER(SEARCH(ZAKL_DATA!$B$14,E68)),MAX($D$2:D67)+1,0)</f>
        <v>66</v>
      </c>
      <c r="E68" s="312" t="s">
        <v>1089</v>
      </c>
      <c r="F68" s="313">
        <v>2311</v>
      </c>
      <c r="G68" s="314"/>
      <c r="H68" s="315" t="str">
        <f>IFERROR(VLOOKUP(ROWS($H$3:H68),$D$3:$E$204,2,0),"")</f>
        <v>PŘEŠTICE</v>
      </c>
      <c r="I68" s="282"/>
      <c r="J68" s="317" t="s">
        <v>1090</v>
      </c>
      <c r="K68" s="304" t="s">
        <v>1091</v>
      </c>
      <c r="M68" s="305">
        <f>IF(ISNUMBER(SEARCH(ZAKL_DATA!$B$29,N68)),MAX($M$2:M67)+1,0)</f>
        <v>66</v>
      </c>
      <c r="N68" s="306" t="s">
        <v>1092</v>
      </c>
      <c r="O68" s="307" t="s">
        <v>1093</v>
      </c>
      <c r="P68" s="308"/>
      <c r="Q68" s="309" t="str">
        <f>IFERROR(VLOOKUP(ROWS($Q$3:Q68),$M$3:$N$992,2,0),"")</f>
        <v>Vydavatelské činnosti</v>
      </c>
      <c r="R68">
        <f>IF(ISNUMBER(SEARCH('1Př1'!$A$32,N68)),MAX($M$2:M67)+1,0)</f>
        <v>66</v>
      </c>
      <c r="S68" s="306" t="s">
        <v>1092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306" t="s">
        <v>1092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306" t="s">
        <v>1092</v>
      </c>
      <c r="Z68" t="str">
        <f>IFERROR(VLOOKUP(ROWS($Z$3:Z68),$X$3:$Y$992,2,0),"")</f>
        <v>Vydavatelské činnosti</v>
      </c>
    </row>
    <row r="69" spans="1:26" ht="12.75" customHeight="1">
      <c r="A69" s="282"/>
      <c r="B69" s="282"/>
      <c r="C69" s="282"/>
      <c r="D69" s="298">
        <f>IF(ISNUMBER(SEARCH(ZAKL_DATA!$B$14,E69)),MAX($D$2:D68)+1,0)</f>
        <v>67</v>
      </c>
      <c r="E69" s="312" t="s">
        <v>1094</v>
      </c>
      <c r="F69" s="313">
        <v>2312</v>
      </c>
      <c r="G69" s="314"/>
      <c r="H69" s="315" t="str">
        <f>IFERROR(VLOOKUP(ROWS($H$3:H69),$D$3:$E$204,2,0),"")</f>
        <v>ROKYCANY</v>
      </c>
      <c r="I69" s="282"/>
      <c r="J69" s="317" t="s">
        <v>1095</v>
      </c>
      <c r="K69" s="304" t="s">
        <v>1096</v>
      </c>
      <c r="M69" s="305">
        <f>IF(ISNUMBER(SEARCH(ZAKL_DATA!$B$29,N69)),MAX($M$2:M68)+1,0)</f>
        <v>67</v>
      </c>
      <c r="N69" s="306" t="s">
        <v>1097</v>
      </c>
      <c r="O69" s="307" t="s">
        <v>1098</v>
      </c>
      <c r="P69" s="308"/>
      <c r="Q69" s="309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306" t="s">
        <v>1097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306" t="s">
        <v>1097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306" t="s">
        <v>1097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282"/>
      <c r="B70" s="282"/>
      <c r="C70" s="282"/>
      <c r="D70" s="298">
        <f>IF(ISNUMBER(SEARCH(ZAKL_DATA!$B$14,E70)),MAX($D$2:D69)+1,0)</f>
        <v>68</v>
      </c>
      <c r="E70" s="312" t="s">
        <v>1099</v>
      </c>
      <c r="F70" s="313">
        <v>2313</v>
      </c>
      <c r="G70" s="314"/>
      <c r="H70" s="315" t="str">
        <f>IFERROR(VLOOKUP(ROWS($H$3:H70),$D$3:$E$204,2,0),"")</f>
        <v>TACHOV</v>
      </c>
      <c r="I70" s="282"/>
      <c r="J70" s="317" t="s">
        <v>1100</v>
      </c>
      <c r="K70" s="304" t="s">
        <v>1101</v>
      </c>
      <c r="M70" s="305">
        <f>IF(ISNUMBER(SEARCH(ZAKL_DATA!$B$29,N70)),MAX($M$2:M69)+1,0)</f>
        <v>68</v>
      </c>
      <c r="N70" s="306" t="s">
        <v>1102</v>
      </c>
      <c r="O70" s="307" t="s">
        <v>1103</v>
      </c>
      <c r="P70" s="308"/>
      <c r="Q70" s="309" t="str">
        <f>IFERROR(VLOOKUP(ROWS($Q$3:Q70),$M$3:$N$992,2,0),"")</f>
        <v>Tvorba programů a vysílání</v>
      </c>
      <c r="R70">
        <f>IF(ISNUMBER(SEARCH('1Př1'!$A$32,N70)),MAX($M$2:M69)+1,0)</f>
        <v>68</v>
      </c>
      <c r="S70" s="306" t="s">
        <v>1102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306" t="s">
        <v>1102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306" t="s">
        <v>1102</v>
      </c>
      <c r="Z70" t="str">
        <f>IFERROR(VLOOKUP(ROWS($Z$3:Z70),$X$3:$Y$992,2,0),"")</f>
        <v>Tvorba programů a vysílání</v>
      </c>
    </row>
    <row r="71" spans="1:26" ht="12.75" customHeight="1">
      <c r="A71" s="282"/>
      <c r="B71" s="282"/>
      <c r="C71" s="282"/>
      <c r="D71" s="298">
        <f>IF(ISNUMBER(SEARCH(ZAKL_DATA!$B$14,E71)),MAX($D$2:D70)+1,0)</f>
        <v>69</v>
      </c>
      <c r="E71" s="312" t="s">
        <v>1104</v>
      </c>
      <c r="F71" s="313">
        <v>2314</v>
      </c>
      <c r="G71" s="314"/>
      <c r="H71" s="315" t="str">
        <f>IFERROR(VLOOKUP(ROWS($H$3:H71),$D$3:$E$204,2,0),"")</f>
        <v>STŘÍBRO</v>
      </c>
      <c r="I71" s="282"/>
      <c r="J71" s="317" t="s">
        <v>1105</v>
      </c>
      <c r="K71" s="304" t="s">
        <v>1106</v>
      </c>
      <c r="M71" s="305">
        <f>IF(ISNUMBER(SEARCH(ZAKL_DATA!$B$29,N71)),MAX($M$2:M70)+1,0)</f>
        <v>69</v>
      </c>
      <c r="N71" s="306" t="s">
        <v>1107</v>
      </c>
      <c r="O71" s="307" t="s">
        <v>1108</v>
      </c>
      <c r="P71" s="308"/>
      <c r="Q71" s="309" t="str">
        <f>IFERROR(VLOOKUP(ROWS($Q$3:Q71),$M$3:$N$992,2,0),"")</f>
        <v>Telekomunikační činnosti</v>
      </c>
      <c r="R71">
        <f>IF(ISNUMBER(SEARCH('1Př1'!$A$32,N71)),MAX($M$2:M70)+1,0)</f>
        <v>69</v>
      </c>
      <c r="S71" s="306" t="s">
        <v>1107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306" t="s">
        <v>1107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306" t="s">
        <v>1107</v>
      </c>
      <c r="Z71" t="str">
        <f>IFERROR(VLOOKUP(ROWS($Z$3:Z71),$X$3:$Y$992,2,0),"")</f>
        <v>Telekomunikační činnosti</v>
      </c>
    </row>
    <row r="72" spans="1:26" ht="12.75" customHeight="1">
      <c r="A72" s="282"/>
      <c r="B72" s="282"/>
      <c r="C72" s="282"/>
      <c r="D72" s="298">
        <f>IF(ISNUMBER(SEARCH(ZAKL_DATA!$B$14,E72)),MAX($D$2:D71)+1,0)</f>
        <v>70</v>
      </c>
      <c r="E72" s="312" t="s">
        <v>1109</v>
      </c>
      <c r="F72" s="313">
        <v>2315</v>
      </c>
      <c r="G72" s="314"/>
      <c r="H72" s="315" t="str">
        <f>IFERROR(VLOOKUP(ROWS($H$3:H72),$D$3:$E$204,2,0),"")</f>
        <v>SUŠICE</v>
      </c>
      <c r="I72" s="282"/>
      <c r="J72" s="317" t="s">
        <v>1110</v>
      </c>
      <c r="K72" s="304" t="s">
        <v>1111</v>
      </c>
      <c r="M72" s="305">
        <f>IF(ISNUMBER(SEARCH(ZAKL_DATA!$B$29,N72)),MAX($M$2:M71)+1,0)</f>
        <v>70</v>
      </c>
      <c r="N72" s="306" t="s">
        <v>1112</v>
      </c>
      <c r="O72" s="307" t="s">
        <v>1113</v>
      </c>
      <c r="P72" s="308"/>
      <c r="Q72" s="309" t="str">
        <f>IFERROR(VLOOKUP(ROWS($Q$3:Q72),$M$3:$N$992,2,0),"")</f>
        <v>Těžba ropy</v>
      </c>
      <c r="R72">
        <f>IF(ISNUMBER(SEARCH('1Př1'!$A$32,N72)),MAX($M$2:M71)+1,0)</f>
        <v>70</v>
      </c>
      <c r="S72" s="306" t="s">
        <v>1112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306" t="s">
        <v>1112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306" t="s">
        <v>1112</v>
      </c>
      <c r="Z72" t="str">
        <f>IFERROR(VLOOKUP(ROWS($Z$3:Z72),$X$3:$Y$992,2,0),"")</f>
        <v>Těžba ropy</v>
      </c>
    </row>
    <row r="73" spans="1:26" ht="12.75" customHeight="1">
      <c r="A73" s="282"/>
      <c r="B73" s="282"/>
      <c r="C73" s="282"/>
      <c r="D73" s="298">
        <f>IF(ISNUMBER(SEARCH(ZAKL_DATA!$B$14,E73)),MAX($D$2:D72)+1,0)</f>
        <v>71</v>
      </c>
      <c r="E73" s="312" t="s">
        <v>1114</v>
      </c>
      <c r="F73" s="313">
        <v>2401</v>
      </c>
      <c r="G73" s="314"/>
      <c r="H73" s="315" t="str">
        <f>IFERROR(VLOOKUP(ROWS($H$3:H73),$D$3:$E$204,2,0),"")</f>
        <v>KARLOVY VARY</v>
      </c>
      <c r="I73" s="282"/>
      <c r="J73" s="317" t="s">
        <v>1115</v>
      </c>
      <c r="K73" s="304" t="s">
        <v>1116</v>
      </c>
      <c r="M73" s="305">
        <f>IF(ISNUMBER(SEARCH(ZAKL_DATA!$B$29,N73)),MAX($M$2:M72)+1,0)</f>
        <v>71</v>
      </c>
      <c r="N73" s="306" t="s">
        <v>1117</v>
      </c>
      <c r="O73" s="307" t="s">
        <v>1118</v>
      </c>
      <c r="P73" s="308"/>
      <c r="Q73" s="309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306" t="s">
        <v>1117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306" t="s">
        <v>1117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306" t="s">
        <v>1117</v>
      </c>
      <c r="Z73" t="str">
        <f>IFERROR(VLOOKUP(ROWS($Z$3:Z73),$X$3:$Y$992,2,0),"")</f>
        <v>Činnosti v oblasti informačních technologií</v>
      </c>
    </row>
    <row r="74" spans="1:26" ht="12.75" customHeight="1">
      <c r="A74" s="282"/>
      <c r="B74" s="282"/>
      <c r="C74" s="282"/>
      <c r="D74" s="298">
        <f>IF(ISNUMBER(SEARCH(ZAKL_DATA!$B$14,E74)),MAX($D$2:D73)+1,0)</f>
        <v>72</v>
      </c>
      <c r="E74" s="312" t="s">
        <v>1119</v>
      </c>
      <c r="F74" s="313">
        <v>2402</v>
      </c>
      <c r="G74" s="314"/>
      <c r="H74" s="315" t="str">
        <f>IFERROR(VLOOKUP(ROWS($H$3:H74),$D$3:$E$204,2,0),"")</f>
        <v>AŠ</v>
      </c>
      <c r="I74" s="282"/>
      <c r="J74" s="317" t="s">
        <v>1120</v>
      </c>
      <c r="K74" s="304" t="s">
        <v>1121</v>
      </c>
      <c r="M74" s="305">
        <f>IF(ISNUMBER(SEARCH(ZAKL_DATA!$B$29,N74)),MAX($M$2:M73)+1,0)</f>
        <v>72</v>
      </c>
      <c r="N74" s="306" t="s">
        <v>1122</v>
      </c>
      <c r="O74" s="307" t="s">
        <v>1123</v>
      </c>
      <c r="P74" s="308"/>
      <c r="Q74" s="309" t="str">
        <f>IFERROR(VLOOKUP(ROWS($Q$3:Q74),$M$3:$N$992,2,0),"")</f>
        <v>Těžba zemního plynu</v>
      </c>
      <c r="R74">
        <f>IF(ISNUMBER(SEARCH('1Př1'!$A$32,N74)),MAX($M$2:M73)+1,0)</f>
        <v>72</v>
      </c>
      <c r="S74" s="306" t="s">
        <v>1122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306" t="s">
        <v>1122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306" t="s">
        <v>1122</v>
      </c>
      <c r="Z74" t="str">
        <f>IFERROR(VLOOKUP(ROWS($Z$3:Z74),$X$3:$Y$992,2,0),"")</f>
        <v>Těžba zemního plynu</v>
      </c>
    </row>
    <row r="75" spans="1:26" ht="12.75" customHeight="1">
      <c r="A75" s="282"/>
      <c r="B75" s="282"/>
      <c r="C75" s="282"/>
      <c r="D75" s="298">
        <f>IF(ISNUMBER(SEARCH(ZAKL_DATA!$B$14,E75)),MAX($D$2:D74)+1,0)</f>
        <v>73</v>
      </c>
      <c r="E75" s="312" t="s">
        <v>1124</v>
      </c>
      <c r="F75" s="313">
        <v>2403</v>
      </c>
      <c r="G75" s="314"/>
      <c r="H75" s="315" t="str">
        <f>IFERROR(VLOOKUP(ROWS($H$3:H75),$D$3:$E$204,2,0),"")</f>
        <v>CHEB</v>
      </c>
      <c r="I75" s="282"/>
      <c r="J75" s="317" t="s">
        <v>1125</v>
      </c>
      <c r="K75" s="304" t="s">
        <v>1126</v>
      </c>
      <c r="M75" s="305">
        <f>IF(ISNUMBER(SEARCH(ZAKL_DATA!$B$29,N75)),MAX($M$2:M74)+1,0)</f>
        <v>73</v>
      </c>
      <c r="N75" s="306" t="s">
        <v>1127</v>
      </c>
      <c r="O75" s="307" t="s">
        <v>1128</v>
      </c>
      <c r="P75" s="308"/>
      <c r="Q75" s="309" t="str">
        <f>IFERROR(VLOOKUP(ROWS($Q$3:Q75),$M$3:$N$992,2,0),"")</f>
        <v>Informační činnosti</v>
      </c>
      <c r="R75">
        <f>IF(ISNUMBER(SEARCH('1Př1'!$A$32,N75)),MAX($M$2:M74)+1,0)</f>
        <v>73</v>
      </c>
      <c r="S75" s="306" t="s">
        <v>1127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306" t="s">
        <v>1127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306" t="s">
        <v>1127</v>
      </c>
      <c r="Z75" t="str">
        <f>IFERROR(VLOOKUP(ROWS($Z$3:Z75),$X$3:$Y$992,2,0),"")</f>
        <v>Informační činnosti</v>
      </c>
    </row>
    <row r="76" spans="1:26" ht="12.75" customHeight="1">
      <c r="A76" s="282"/>
      <c r="B76" s="282"/>
      <c r="C76" s="282"/>
      <c r="D76" s="298">
        <f>IF(ISNUMBER(SEARCH(ZAKL_DATA!$B$14,E76)),MAX($D$2:D75)+1,0)</f>
        <v>74</v>
      </c>
      <c r="E76" s="312" t="s">
        <v>1129</v>
      </c>
      <c r="F76" s="313">
        <v>2404</v>
      </c>
      <c r="G76" s="314"/>
      <c r="H76" s="315" t="str">
        <f>IFERROR(VLOOKUP(ROWS($H$3:H76),$D$3:$E$204,2,0),"")</f>
        <v>KRASLICE</v>
      </c>
      <c r="I76" s="282"/>
      <c r="J76" s="317" t="s">
        <v>1130</v>
      </c>
      <c r="K76" s="304" t="s">
        <v>1131</v>
      </c>
      <c r="M76" s="305">
        <f>IF(ISNUMBER(SEARCH(ZAKL_DATA!$B$29,N76)),MAX($M$2:M75)+1,0)</f>
        <v>74</v>
      </c>
      <c r="N76" s="306" t="s">
        <v>1132</v>
      </c>
      <c r="O76" s="307" t="s">
        <v>1133</v>
      </c>
      <c r="P76" s="308"/>
      <c r="Q76" s="309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306" t="s">
        <v>1132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306" t="s">
        <v>1132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306" t="s">
        <v>1132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282"/>
      <c r="B77" s="282"/>
      <c r="C77" s="282"/>
      <c r="D77" s="298">
        <f>IF(ISNUMBER(SEARCH(ZAKL_DATA!$B$14,E77)),MAX($D$2:D76)+1,0)</f>
        <v>75</v>
      </c>
      <c r="E77" s="312" t="s">
        <v>1134</v>
      </c>
      <c r="F77" s="313">
        <v>2405</v>
      </c>
      <c r="G77" s="314"/>
      <c r="H77" s="315" t="str">
        <f>IFERROR(VLOOKUP(ROWS($H$3:H77),$D$3:$E$204,2,0),"")</f>
        <v>MARIÁNSKÉ LÁZNĚ</v>
      </c>
      <c r="I77" s="282"/>
      <c r="J77" s="317" t="s">
        <v>1135</v>
      </c>
      <c r="K77" s="304" t="s">
        <v>1136</v>
      </c>
      <c r="M77" s="305">
        <f>IF(ISNUMBER(SEARCH(ZAKL_DATA!$B$29,N77)),MAX($M$2:M76)+1,0)</f>
        <v>75</v>
      </c>
      <c r="N77" s="306" t="s">
        <v>1137</v>
      </c>
      <c r="O77" s="307" t="s">
        <v>1138</v>
      </c>
      <c r="P77" s="308"/>
      <c r="Q77" s="309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306" t="s">
        <v>1137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306" t="s">
        <v>1137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306" t="s">
        <v>1137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282"/>
      <c r="B78" s="282"/>
      <c r="C78" s="282"/>
      <c r="D78" s="298">
        <f>IF(ISNUMBER(SEARCH(ZAKL_DATA!$B$14,E78)),MAX($D$2:D77)+1,0)</f>
        <v>76</v>
      </c>
      <c r="E78" s="312" t="s">
        <v>1139</v>
      </c>
      <c r="F78" s="313">
        <v>2406</v>
      </c>
      <c r="G78" s="314"/>
      <c r="H78" s="315" t="str">
        <f>IFERROR(VLOOKUP(ROWS($H$3:H78),$D$3:$E$204,2,0),"")</f>
        <v>OSTROV NAD OHŘÍ</v>
      </c>
      <c r="I78" s="282"/>
      <c r="J78" s="317" t="s">
        <v>1140</v>
      </c>
      <c r="K78" s="304" t="s">
        <v>1141</v>
      </c>
      <c r="M78" s="305">
        <f>IF(ISNUMBER(SEARCH(ZAKL_DATA!$B$29,N78)),MAX($M$2:M77)+1,0)</f>
        <v>76</v>
      </c>
      <c r="N78" s="306" t="s">
        <v>1142</v>
      </c>
      <c r="O78" s="307" t="s">
        <v>1143</v>
      </c>
      <c r="P78" s="308"/>
      <c r="Q78" s="309" t="str">
        <f>IFERROR(VLOOKUP(ROWS($Q$3:Q78),$M$3:$N$992,2,0),"")</f>
        <v>Ostatní finanční činnosti</v>
      </c>
      <c r="R78">
        <f>IF(ISNUMBER(SEARCH('1Př1'!$A$32,N78)),MAX($M$2:M77)+1,0)</f>
        <v>76</v>
      </c>
      <c r="S78" s="306" t="s">
        <v>1142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306" t="s">
        <v>1142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306" t="s">
        <v>1142</v>
      </c>
      <c r="Z78" t="str">
        <f>IFERROR(VLOOKUP(ROWS($Z$3:Z78),$X$3:$Y$992,2,0),"")</f>
        <v>Ostatní finanční činnosti</v>
      </c>
    </row>
    <row r="79" spans="1:26" ht="12.75" customHeight="1">
      <c r="A79" s="282"/>
      <c r="B79" s="282"/>
      <c r="C79" s="282"/>
      <c r="D79" s="298">
        <f>IF(ISNUMBER(SEARCH(ZAKL_DATA!$B$14,E79)),MAX($D$2:D78)+1,0)</f>
        <v>77</v>
      </c>
      <c r="E79" s="312" t="s">
        <v>1144</v>
      </c>
      <c r="F79" s="313">
        <v>2407</v>
      </c>
      <c r="G79" s="314"/>
      <c r="H79" s="315" t="str">
        <f>IFERROR(VLOOKUP(ROWS($H$3:H79),$D$3:$E$204,2,0),"")</f>
        <v>SOKOLOV</v>
      </c>
      <c r="I79" s="282"/>
      <c r="J79" s="317" t="s">
        <v>1145</v>
      </c>
      <c r="K79" s="304" t="s">
        <v>1146</v>
      </c>
      <c r="M79" s="305">
        <f>IF(ISNUMBER(SEARCH(ZAKL_DATA!$B$29,N79)),MAX($M$2:M78)+1,0)</f>
        <v>77</v>
      </c>
      <c r="N79" s="306" t="s">
        <v>1147</v>
      </c>
      <c r="O79" s="307" t="s">
        <v>1148</v>
      </c>
      <c r="P79" s="308"/>
      <c r="Q79" s="309" t="str">
        <f>IFERROR(VLOOKUP(ROWS($Q$3:Q79),$M$3:$N$992,2,0),"")</f>
        <v>Činnosti v oblasti nemovitostí</v>
      </c>
      <c r="R79">
        <f>IF(ISNUMBER(SEARCH('1Př1'!$A$32,N79)),MAX($M$2:M78)+1,0)</f>
        <v>77</v>
      </c>
      <c r="S79" s="306" t="s">
        <v>1147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306" t="s">
        <v>1147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306" t="s">
        <v>1147</v>
      </c>
      <c r="Z79" t="str">
        <f>IFERROR(VLOOKUP(ROWS($Z$3:Z79),$X$3:$Y$992,2,0),"")</f>
        <v>Činnosti v oblasti nemovitostí</v>
      </c>
    </row>
    <row r="80" spans="1:26" ht="12.75" customHeight="1">
      <c r="A80" s="282"/>
      <c r="B80" s="282"/>
      <c r="C80" s="282"/>
      <c r="D80" s="298">
        <f>IF(ISNUMBER(SEARCH(ZAKL_DATA!$B$14,E80)),MAX($D$2:D79)+1,0)</f>
        <v>78</v>
      </c>
      <c r="E80" s="312" t="s">
        <v>1149</v>
      </c>
      <c r="F80" s="313">
        <v>2501</v>
      </c>
      <c r="G80" s="314"/>
      <c r="H80" s="315" t="str">
        <f>IFERROR(VLOOKUP(ROWS($H$3:H80),$D$3:$E$204,2,0),"")</f>
        <v>ÚSTÍ NAD LABEM</v>
      </c>
      <c r="I80" s="282"/>
      <c r="J80" s="317" t="s">
        <v>1150</v>
      </c>
      <c r="K80" s="304" t="s">
        <v>1151</v>
      </c>
      <c r="M80" s="305">
        <f>IF(ISNUMBER(SEARCH(ZAKL_DATA!$B$29,N80)),MAX($M$2:M79)+1,0)</f>
        <v>78</v>
      </c>
      <c r="N80" s="306" t="s">
        <v>1152</v>
      </c>
      <c r="O80" s="307" t="s">
        <v>1153</v>
      </c>
      <c r="P80" s="308"/>
      <c r="Q80" s="309" t="str">
        <f>IFERROR(VLOOKUP(ROWS($Q$3:Q80),$M$3:$N$992,2,0),"")</f>
        <v>Právní a účetnické činnosti</v>
      </c>
      <c r="R80">
        <f>IF(ISNUMBER(SEARCH('1Př1'!$A$32,N80)),MAX($M$2:M79)+1,0)</f>
        <v>78</v>
      </c>
      <c r="S80" s="306" t="s">
        <v>1152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306" t="s">
        <v>1152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306" t="s">
        <v>1152</v>
      </c>
      <c r="Z80" t="str">
        <f>IFERROR(VLOOKUP(ROWS($Z$3:Z80),$X$3:$Y$992,2,0),"")</f>
        <v>Právní a účetnické činnosti</v>
      </c>
    </row>
    <row r="81" spans="1:26" ht="12.75" customHeight="1">
      <c r="A81" s="282"/>
      <c r="B81" s="282"/>
      <c r="C81" s="282"/>
      <c r="D81" s="298">
        <f>IF(ISNUMBER(SEARCH(ZAKL_DATA!$B$14,E81)),MAX($D$2:D80)+1,0)</f>
        <v>79</v>
      </c>
      <c r="E81" s="312" t="s">
        <v>1154</v>
      </c>
      <c r="F81" s="313">
        <v>2502</v>
      </c>
      <c r="G81" s="314"/>
      <c r="H81" s="315" t="str">
        <f>IFERROR(VLOOKUP(ROWS($H$3:H81),$D$3:$E$204,2,0),"")</f>
        <v>BÍLINA</v>
      </c>
      <c r="I81" s="282"/>
      <c r="J81" s="317" t="s">
        <v>1155</v>
      </c>
      <c r="K81" s="304" t="s">
        <v>1156</v>
      </c>
      <c r="M81" s="305">
        <f>IF(ISNUMBER(SEARCH(ZAKL_DATA!$B$29,N81)),MAX($M$2:M80)+1,0)</f>
        <v>79</v>
      </c>
      <c r="N81" s="306" t="s">
        <v>1157</v>
      </c>
      <c r="O81" s="307" t="s">
        <v>1158</v>
      </c>
      <c r="P81" s="308"/>
      <c r="Q81" s="309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306" t="s">
        <v>1157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306" t="s">
        <v>1157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306" t="s">
        <v>1157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282"/>
      <c r="B82" s="282"/>
      <c r="C82" s="282"/>
      <c r="D82" s="298">
        <f>IF(ISNUMBER(SEARCH(ZAKL_DATA!$B$14,E82)),MAX($D$2:D81)+1,0)</f>
        <v>80</v>
      </c>
      <c r="E82" s="312" t="s">
        <v>1159</v>
      </c>
      <c r="F82" s="313">
        <v>2503</v>
      </c>
      <c r="G82" s="314"/>
      <c r="H82" s="315" t="str">
        <f>IFERROR(VLOOKUP(ROWS($H$3:H82),$D$3:$E$204,2,0),"")</f>
        <v>DĚČÍN</v>
      </c>
      <c r="I82" s="282"/>
      <c r="J82" s="317" t="s">
        <v>1160</v>
      </c>
      <c r="K82" s="304" t="s">
        <v>1161</v>
      </c>
      <c r="M82" s="305">
        <f>IF(ISNUMBER(SEARCH(ZAKL_DATA!$B$29,N82)),MAX($M$2:M81)+1,0)</f>
        <v>80</v>
      </c>
      <c r="N82" s="306" t="s">
        <v>1162</v>
      </c>
      <c r="O82" s="307" t="s">
        <v>1163</v>
      </c>
      <c r="P82" s="308"/>
      <c r="Q82" s="309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306" t="s">
        <v>1162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306" t="s">
        <v>1162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306" t="s">
        <v>1162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282"/>
      <c r="B83" s="282"/>
      <c r="C83" s="282"/>
      <c r="D83" s="298">
        <f>IF(ISNUMBER(SEARCH(ZAKL_DATA!$B$14,E83)),MAX($D$2:D82)+1,0)</f>
        <v>81</v>
      </c>
      <c r="E83" s="312" t="s">
        <v>1164</v>
      </c>
      <c r="F83" s="313">
        <v>2504</v>
      </c>
      <c r="G83" s="314"/>
      <c r="H83" s="315" t="str">
        <f>IFERROR(VLOOKUP(ROWS($H$3:H83),$D$3:$E$204,2,0),"")</f>
        <v>CHOMUTOV</v>
      </c>
      <c r="I83" s="282"/>
      <c r="J83" s="317" t="s">
        <v>1165</v>
      </c>
      <c r="K83" s="304" t="s">
        <v>1166</v>
      </c>
      <c r="M83" s="305">
        <f>IF(ISNUMBER(SEARCH(ZAKL_DATA!$B$29,N83)),MAX($M$2:M82)+1,0)</f>
        <v>81</v>
      </c>
      <c r="N83" s="306" t="s">
        <v>1167</v>
      </c>
      <c r="O83" s="307" t="s">
        <v>1168</v>
      </c>
      <c r="P83" s="308"/>
      <c r="Q83" s="309" t="str">
        <f>IFERROR(VLOOKUP(ROWS($Q$3:Q83),$M$3:$N$992,2,0),"")</f>
        <v>Těžba a úprava železných rud</v>
      </c>
      <c r="R83">
        <f>IF(ISNUMBER(SEARCH('1Př1'!$A$32,N83)),MAX($M$2:M82)+1,0)</f>
        <v>81</v>
      </c>
      <c r="S83" s="306" t="s">
        <v>1167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306" t="s">
        <v>1167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306" t="s">
        <v>1167</v>
      </c>
      <c r="Z83" t="str">
        <f>IFERROR(VLOOKUP(ROWS($Z$3:Z83),$X$3:$Y$992,2,0),"")</f>
        <v>Těžba a úprava železných rud</v>
      </c>
    </row>
    <row r="84" spans="1:26" ht="12.75" customHeight="1">
      <c r="A84" s="282"/>
      <c r="B84" s="282"/>
      <c r="C84" s="282"/>
      <c r="D84" s="298">
        <f>IF(ISNUMBER(SEARCH(ZAKL_DATA!$B$14,E84)),MAX($D$2:D83)+1,0)</f>
        <v>82</v>
      </c>
      <c r="E84" s="312" t="s">
        <v>1169</v>
      </c>
      <c r="F84" s="313">
        <v>2505</v>
      </c>
      <c r="G84" s="314"/>
      <c r="H84" s="315" t="str">
        <f>IFERROR(VLOOKUP(ROWS($H$3:H84),$D$3:$E$204,2,0),"")</f>
        <v>KADAŇ</v>
      </c>
      <c r="I84" s="282"/>
      <c r="J84" s="321" t="s">
        <v>1170</v>
      </c>
      <c r="K84" s="322" t="s">
        <v>1171</v>
      </c>
      <c r="M84" s="305">
        <f>IF(ISNUMBER(SEARCH(ZAKL_DATA!$B$29,N84)),MAX($M$2:M83)+1,0)</f>
        <v>82</v>
      </c>
      <c r="N84" s="306" t="s">
        <v>1172</v>
      </c>
      <c r="O84" s="307" t="s">
        <v>1173</v>
      </c>
      <c r="P84" s="308"/>
      <c r="Q84" s="309" t="str">
        <f>IFERROR(VLOOKUP(ROWS($Q$3:Q84),$M$3:$N$992,2,0),"")</f>
        <v>Výzkum a vývoj</v>
      </c>
      <c r="R84">
        <f>IF(ISNUMBER(SEARCH('1Př1'!$A$32,N84)),MAX($M$2:M83)+1,0)</f>
        <v>82</v>
      </c>
      <c r="S84" s="306" t="s">
        <v>1172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306" t="s">
        <v>1172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306" t="s">
        <v>1172</v>
      </c>
      <c r="Z84" t="str">
        <f>IFERROR(VLOOKUP(ROWS($Z$3:Z84),$X$3:$Y$992,2,0),"")</f>
        <v>Výzkum a vývoj</v>
      </c>
    </row>
    <row r="85" spans="1:26" ht="12.75" customHeight="1">
      <c r="A85" s="282"/>
      <c r="B85" s="282"/>
      <c r="C85" s="282"/>
      <c r="D85" s="298">
        <f>IF(ISNUMBER(SEARCH(ZAKL_DATA!$B$14,E85)),MAX($D$2:D84)+1,0)</f>
        <v>83</v>
      </c>
      <c r="E85" s="312" t="s">
        <v>1174</v>
      </c>
      <c r="F85" s="313">
        <v>2506</v>
      </c>
      <c r="G85" s="314"/>
      <c r="H85" s="315" t="str">
        <f>IFERROR(VLOOKUP(ROWS($H$3:H85),$D$3:$E$204,2,0),"")</f>
        <v>LIBOCHOVICE</v>
      </c>
      <c r="I85" s="282"/>
      <c r="J85" s="317" t="s">
        <v>1175</v>
      </c>
      <c r="K85" s="304" t="s">
        <v>1176</v>
      </c>
      <c r="M85" s="305">
        <f>IF(ISNUMBER(SEARCH(ZAKL_DATA!$B$29,N85)),MAX($M$2:M84)+1,0)</f>
        <v>83</v>
      </c>
      <c r="N85" s="306" t="s">
        <v>1177</v>
      </c>
      <c r="O85" s="307" t="s">
        <v>1178</v>
      </c>
      <c r="P85" s="308"/>
      <c r="Q85" s="309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306" t="s">
        <v>1177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306" t="s">
        <v>1177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306" t="s">
        <v>1177</v>
      </c>
      <c r="Z85" t="str">
        <f>IFERROR(VLOOKUP(ROWS($Z$3:Z85),$X$3:$Y$992,2,0),"")</f>
        <v>Těžba a úprava neželezných rud</v>
      </c>
    </row>
    <row r="86" spans="1:26" ht="12.75" customHeight="1">
      <c r="A86" s="282"/>
      <c r="B86" s="282"/>
      <c r="C86" s="282"/>
      <c r="D86" s="298">
        <f>IF(ISNUMBER(SEARCH(ZAKL_DATA!$B$14,E86)),MAX($D$2:D85)+1,0)</f>
        <v>84</v>
      </c>
      <c r="E86" s="312" t="s">
        <v>1179</v>
      </c>
      <c r="F86" s="313">
        <v>2507</v>
      </c>
      <c r="G86" s="314"/>
      <c r="H86" s="315" t="str">
        <f>IFERROR(VLOOKUP(ROWS($H$3:H86),$D$3:$E$204,2,0),"")</f>
        <v>LITOMĚŘICE</v>
      </c>
      <c r="I86" s="282"/>
      <c r="J86" s="317" t="s">
        <v>1180</v>
      </c>
      <c r="K86" s="304" t="s">
        <v>1181</v>
      </c>
      <c r="M86" s="305">
        <f>IF(ISNUMBER(SEARCH(ZAKL_DATA!$B$29,N86)),MAX($M$2:M85)+1,0)</f>
        <v>84</v>
      </c>
      <c r="N86" s="306" t="s">
        <v>1182</v>
      </c>
      <c r="O86" s="307" t="s">
        <v>1183</v>
      </c>
      <c r="P86" s="308"/>
      <c r="Q86" s="309" t="str">
        <f>IFERROR(VLOOKUP(ROWS($Q$3:Q86),$M$3:$N$992,2,0),"")</f>
        <v>Reklama a průzkum trhu</v>
      </c>
      <c r="R86">
        <f>IF(ISNUMBER(SEARCH('1Př1'!$A$32,N86)),MAX($M$2:M85)+1,0)</f>
        <v>84</v>
      </c>
      <c r="S86" s="306" t="s">
        <v>1182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306" t="s">
        <v>1182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306" t="s">
        <v>1182</v>
      </c>
      <c r="Z86" t="str">
        <f>IFERROR(VLOOKUP(ROWS($Z$3:Z86),$X$3:$Y$992,2,0),"")</f>
        <v>Reklama a průzkum trhu</v>
      </c>
    </row>
    <row r="87" spans="1:26" ht="12.75" customHeight="1">
      <c r="A87" s="282"/>
      <c r="B87" s="282"/>
      <c r="C87" s="282"/>
      <c r="D87" s="298">
        <f>IF(ISNUMBER(SEARCH(ZAKL_DATA!$B$14,E87)),MAX($D$2:D86)+1,0)</f>
        <v>85</v>
      </c>
      <c r="E87" s="312" t="s">
        <v>1184</v>
      </c>
      <c r="F87" s="313">
        <v>2508</v>
      </c>
      <c r="G87" s="314"/>
      <c r="H87" s="315" t="str">
        <f>IFERROR(VLOOKUP(ROWS($H$3:H87),$D$3:$E$204,2,0),"")</f>
        <v>LITVÍNOV</v>
      </c>
      <c r="I87" s="282"/>
      <c r="J87" s="317" t="s">
        <v>1185</v>
      </c>
      <c r="K87" s="304" t="s">
        <v>1186</v>
      </c>
      <c r="M87" s="305">
        <f>IF(ISNUMBER(SEARCH(ZAKL_DATA!$B$29,N87)),MAX($M$2:M86)+1,0)</f>
        <v>85</v>
      </c>
      <c r="N87" s="306" t="s">
        <v>1187</v>
      </c>
      <c r="O87" s="307" t="s">
        <v>1188</v>
      </c>
      <c r="P87" s="308"/>
      <c r="Q87" s="309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306" t="s">
        <v>1187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306" t="s">
        <v>1187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306" t="s">
        <v>1187</v>
      </c>
      <c r="Z87" t="str">
        <f>IFERROR(VLOOKUP(ROWS($Z$3:Z87),$X$3:$Y$992,2,0),"")</f>
        <v>Ostatní profesní, vědecké a technické činnosti</v>
      </c>
    </row>
    <row r="88" spans="1:26" ht="12.75" customHeight="1">
      <c r="A88" s="282"/>
      <c r="B88" s="282"/>
      <c r="C88" s="282"/>
      <c r="D88" s="298">
        <f>IF(ISNUMBER(SEARCH(ZAKL_DATA!$B$14,E88)),MAX($D$2:D87)+1,0)</f>
        <v>86</v>
      </c>
      <c r="E88" s="312" t="s">
        <v>1189</v>
      </c>
      <c r="F88" s="313">
        <v>2509</v>
      </c>
      <c r="G88" s="314"/>
      <c r="H88" s="315" t="str">
        <f>IFERROR(VLOOKUP(ROWS($H$3:H88),$D$3:$E$204,2,0),"")</f>
        <v>LOUNY</v>
      </c>
      <c r="I88" s="282"/>
      <c r="J88" s="317" t="s">
        <v>1190</v>
      </c>
      <c r="K88" s="304" t="s">
        <v>1191</v>
      </c>
      <c r="M88" s="305">
        <f>IF(ISNUMBER(SEARCH(ZAKL_DATA!$B$29,N88)),MAX($M$2:M87)+1,0)</f>
        <v>86</v>
      </c>
      <c r="N88" s="306" t="s">
        <v>1192</v>
      </c>
      <c r="O88" s="307" t="s">
        <v>1193</v>
      </c>
      <c r="P88" s="308"/>
      <c r="Q88" s="309" t="str">
        <f>IFERROR(VLOOKUP(ROWS($Q$3:Q88),$M$3:$N$992,2,0),"")</f>
        <v>Veterinární činnosti</v>
      </c>
      <c r="R88">
        <f>IF(ISNUMBER(SEARCH('1Př1'!$A$32,N88)),MAX($M$2:M87)+1,0)</f>
        <v>86</v>
      </c>
      <c r="S88" s="306" t="s">
        <v>1192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306" t="s">
        <v>1192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306" t="s">
        <v>1192</v>
      </c>
      <c r="Z88" t="str">
        <f>IFERROR(VLOOKUP(ROWS($Z$3:Z88),$X$3:$Y$992,2,0),"")</f>
        <v>Veterinární činnosti</v>
      </c>
    </row>
    <row r="89" spans="1:26" ht="12.75" customHeight="1">
      <c r="A89" s="282"/>
      <c r="B89" s="282"/>
      <c r="C89" s="282"/>
      <c r="D89" s="298">
        <f>IF(ISNUMBER(SEARCH(ZAKL_DATA!$B$14,E89)),MAX($D$2:D88)+1,0)</f>
        <v>87</v>
      </c>
      <c r="E89" s="312" t="s">
        <v>1194</v>
      </c>
      <c r="F89" s="313">
        <v>2510</v>
      </c>
      <c r="G89" s="314"/>
      <c r="H89" s="315" t="str">
        <f>IFERROR(VLOOKUP(ROWS($H$3:H89),$D$3:$E$204,2,0),"")</f>
        <v>MOST</v>
      </c>
      <c r="I89" s="282"/>
      <c r="J89" s="317" t="s">
        <v>1195</v>
      </c>
      <c r="K89" s="304" t="s">
        <v>1196</v>
      </c>
      <c r="M89" s="305">
        <f>IF(ISNUMBER(SEARCH(ZAKL_DATA!$B$29,N89)),MAX($M$2:M88)+1,0)</f>
        <v>87</v>
      </c>
      <c r="N89" s="306" t="s">
        <v>1197</v>
      </c>
      <c r="O89" s="307" t="s">
        <v>1198</v>
      </c>
      <c r="P89" s="308"/>
      <c r="Q89" s="309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306" t="s">
        <v>1197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306" t="s">
        <v>1197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306" t="s">
        <v>1197</v>
      </c>
      <c r="Z89" t="str">
        <f>IFERROR(VLOOKUP(ROWS($Z$3:Z89),$X$3:$Y$992,2,0),"")</f>
        <v>Činnosti v oblasti pronájmu a operativního leasingu</v>
      </c>
    </row>
    <row r="90" spans="1:26" ht="12.75" customHeight="1">
      <c r="A90" s="282"/>
      <c r="B90" s="282"/>
      <c r="C90" s="282"/>
      <c r="D90" s="298">
        <f>IF(ISNUMBER(SEARCH(ZAKL_DATA!$B$14,E90)),MAX($D$2:D89)+1,0)</f>
        <v>88</v>
      </c>
      <c r="E90" s="312" t="s">
        <v>1199</v>
      </c>
      <c r="F90" s="313">
        <v>2511</v>
      </c>
      <c r="G90" s="314"/>
      <c r="H90" s="315" t="str">
        <f>IFERROR(VLOOKUP(ROWS($H$3:H90),$D$3:$E$204,2,0),"")</f>
        <v>PODBOŘANY</v>
      </c>
      <c r="I90" s="282"/>
      <c r="J90" s="317" t="s">
        <v>1200</v>
      </c>
      <c r="K90" s="304" t="s">
        <v>1201</v>
      </c>
      <c r="M90" s="305">
        <f>IF(ISNUMBER(SEARCH(ZAKL_DATA!$B$29,N90)),MAX($M$2:M89)+1,0)</f>
        <v>88</v>
      </c>
      <c r="N90" s="306" t="s">
        <v>1202</v>
      </c>
      <c r="O90" s="307" t="s">
        <v>1203</v>
      </c>
      <c r="P90" s="308"/>
      <c r="Q90" s="309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306" t="s">
        <v>1202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306" t="s">
        <v>1202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306" t="s">
        <v>1202</v>
      </c>
      <c r="Z90" t="str">
        <f>IFERROR(VLOOKUP(ROWS($Z$3:Z90),$X$3:$Y$992,2,0),"")</f>
        <v>Činnosti související se zaměstnáním</v>
      </c>
    </row>
    <row r="91" spans="1:26" ht="12.75" customHeight="1">
      <c r="A91" s="282"/>
      <c r="B91" s="282"/>
      <c r="C91" s="282"/>
      <c r="D91" s="298">
        <f>IF(ISNUMBER(SEARCH(ZAKL_DATA!$B$14,E91)),MAX($D$2:D90)+1,0)</f>
        <v>89</v>
      </c>
      <c r="E91" s="312" t="s">
        <v>1204</v>
      </c>
      <c r="F91" s="313">
        <v>2512</v>
      </c>
      <c r="G91" s="314"/>
      <c r="H91" s="315" t="str">
        <f>IFERROR(VLOOKUP(ROWS($H$3:H91),$D$3:$E$204,2,0),"")</f>
        <v>ROUDNICE NAD LABEM</v>
      </c>
      <c r="I91" s="282"/>
      <c r="J91" s="317" t="s">
        <v>1205</v>
      </c>
      <c r="K91" s="304" t="s">
        <v>1206</v>
      </c>
      <c r="M91" s="305">
        <f>IF(ISNUMBER(SEARCH(ZAKL_DATA!$B$29,N91)),MAX($M$2:M90)+1,0)</f>
        <v>89</v>
      </c>
      <c r="N91" s="306" t="s">
        <v>1207</v>
      </c>
      <c r="O91" s="307" t="s">
        <v>1208</v>
      </c>
      <c r="P91" s="308"/>
      <c r="Q91" s="309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306" t="s">
        <v>1207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306" t="s">
        <v>1207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306" t="s">
        <v>1207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282"/>
      <c r="B92" s="282"/>
      <c r="C92" s="282"/>
      <c r="D92" s="298">
        <f>IF(ISNUMBER(SEARCH(ZAKL_DATA!$B$14,E92)),MAX($D$2:D91)+1,0)</f>
        <v>90</v>
      </c>
      <c r="E92" s="312" t="s">
        <v>1209</v>
      </c>
      <c r="F92" s="313">
        <v>2513</v>
      </c>
      <c r="G92" s="314"/>
      <c r="H92" s="315" t="str">
        <f>IFERROR(VLOOKUP(ROWS($H$3:H92),$D$3:$E$204,2,0),"")</f>
        <v>RUMBURK</v>
      </c>
      <c r="I92" s="282"/>
      <c r="J92" s="317" t="s">
        <v>1210</v>
      </c>
      <c r="K92" s="304" t="s">
        <v>1211</v>
      </c>
      <c r="M92" s="305">
        <f>IF(ISNUMBER(SEARCH(ZAKL_DATA!$B$29,N92)),MAX($M$2:M91)+1,0)</f>
        <v>90</v>
      </c>
      <c r="N92" s="306" t="s">
        <v>1212</v>
      </c>
      <c r="O92" s="307" t="s">
        <v>1213</v>
      </c>
      <c r="P92" s="308"/>
      <c r="Q92" s="309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306" t="s">
        <v>1212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306" t="s">
        <v>1212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306" t="s">
        <v>1212</v>
      </c>
      <c r="Z92" t="str">
        <f>IFERROR(VLOOKUP(ROWS($Z$3:Z92),$X$3:$Y$992,2,0),"")</f>
        <v>Bezpečnostní a pátrací činnosti</v>
      </c>
    </row>
    <row r="93" spans="1:26" ht="12.75" customHeight="1">
      <c r="A93" s="282"/>
      <c r="B93" s="282"/>
      <c r="C93" s="282"/>
      <c r="D93" s="298">
        <f>IF(ISNUMBER(SEARCH(ZAKL_DATA!$B$14,E93)),MAX($D$2:D92)+1,0)</f>
        <v>91</v>
      </c>
      <c r="E93" s="312" t="s">
        <v>1214</v>
      </c>
      <c r="F93" s="313">
        <v>2514</v>
      </c>
      <c r="G93" s="314"/>
      <c r="H93" s="315" t="str">
        <f>IFERROR(VLOOKUP(ROWS($H$3:H93),$D$3:$E$204,2,0),"")</f>
        <v>TEPLICE</v>
      </c>
      <c r="I93" s="282"/>
      <c r="J93" s="317" t="s">
        <v>1215</v>
      </c>
      <c r="K93" s="304" t="s">
        <v>1216</v>
      </c>
      <c r="M93" s="305">
        <f>IF(ISNUMBER(SEARCH(ZAKL_DATA!$B$29,N93)),MAX($M$2:M92)+1,0)</f>
        <v>91</v>
      </c>
      <c r="N93" s="306" t="s">
        <v>1217</v>
      </c>
      <c r="O93" s="307" t="s">
        <v>1218</v>
      </c>
      <c r="P93" s="308"/>
      <c r="Q93" s="309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306" t="s">
        <v>1217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306" t="s">
        <v>1217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306" t="s">
        <v>1217</v>
      </c>
      <c r="Z93" t="str">
        <f>IFERROR(VLOOKUP(ROWS($Z$3:Z93),$X$3:$Y$992,2,0),"")</f>
        <v>Činnosti související se stavbami a úpravou krajiny</v>
      </c>
    </row>
    <row r="94" spans="1:26" ht="12.75" customHeight="1">
      <c r="A94" s="282"/>
      <c r="B94" s="282"/>
      <c r="C94" s="282"/>
      <c r="D94" s="298">
        <f>IF(ISNUMBER(SEARCH(ZAKL_DATA!$B$14,E94)),MAX($D$2:D93)+1,0)</f>
        <v>92</v>
      </c>
      <c r="E94" s="312" t="s">
        <v>1219</v>
      </c>
      <c r="F94" s="313">
        <v>2515</v>
      </c>
      <c r="G94" s="314"/>
      <c r="H94" s="315" t="str">
        <f>IFERROR(VLOOKUP(ROWS($H$3:H94),$D$3:$E$204,2,0),"")</f>
        <v>ŽATEC</v>
      </c>
      <c r="I94" s="282"/>
      <c r="J94" s="317" t="s">
        <v>1220</v>
      </c>
      <c r="K94" s="304" t="s">
        <v>1221</v>
      </c>
      <c r="M94" s="305">
        <f>IF(ISNUMBER(SEARCH(ZAKL_DATA!$B$29,N94)),MAX($M$2:M93)+1,0)</f>
        <v>92</v>
      </c>
      <c r="N94" s="306" t="s">
        <v>1222</v>
      </c>
      <c r="O94" s="307" t="s">
        <v>1223</v>
      </c>
      <c r="P94" s="308"/>
      <c r="Q94" s="309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306" t="s">
        <v>1222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306" t="s">
        <v>1222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306" t="s">
        <v>1222</v>
      </c>
      <c r="Z94" t="str">
        <f>IFERROR(VLOOKUP(ROWS($Z$3:Z94),$X$3:$Y$992,2,0),"")</f>
        <v>Dobývání kamene, písků a jílů</v>
      </c>
    </row>
    <row r="95" spans="1:26" ht="12.75" customHeight="1">
      <c r="A95" s="282"/>
      <c r="B95" s="282"/>
      <c r="C95" s="282"/>
      <c r="D95" s="298">
        <f>IF(ISNUMBER(SEARCH(ZAKL_DATA!$B$14,E95)),MAX($D$2:D94)+1,0)</f>
        <v>93</v>
      </c>
      <c r="E95" s="312" t="s">
        <v>1224</v>
      </c>
      <c r="F95" s="313">
        <v>2601</v>
      </c>
      <c r="G95" s="314"/>
      <c r="H95" s="315" t="str">
        <f>IFERROR(VLOOKUP(ROWS($H$3:H95),$D$3:$E$204,2,0),"")</f>
        <v>LIBEREC</v>
      </c>
      <c r="I95" s="282"/>
      <c r="J95" s="317" t="s">
        <v>1225</v>
      </c>
      <c r="K95" s="304" t="s">
        <v>1226</v>
      </c>
      <c r="M95" s="305">
        <f>IF(ISNUMBER(SEARCH(ZAKL_DATA!$B$29,N95)),MAX($M$2:M94)+1,0)</f>
        <v>93</v>
      </c>
      <c r="N95" s="306" t="s">
        <v>1227</v>
      </c>
      <c r="O95" s="307" t="s">
        <v>1228</v>
      </c>
      <c r="P95" s="308"/>
      <c r="Q95" s="309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306" t="s">
        <v>1227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306" t="s">
        <v>1227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306" t="s">
        <v>1227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282"/>
      <c r="B96" s="282"/>
      <c r="C96" s="282"/>
      <c r="D96" s="298">
        <f>IF(ISNUMBER(SEARCH(ZAKL_DATA!$B$14,E96)),MAX($D$2:D95)+1,0)</f>
        <v>94</v>
      </c>
      <c r="E96" s="312" t="s">
        <v>1229</v>
      </c>
      <c r="F96" s="313">
        <v>2602</v>
      </c>
      <c r="G96" s="314"/>
      <c r="H96" s="315" t="str">
        <f>IFERROR(VLOOKUP(ROWS($H$3:H96),$D$3:$E$204,2,0),"")</f>
        <v>ČESKÁ LÍPA</v>
      </c>
      <c r="I96" s="282"/>
      <c r="J96" s="317" t="s">
        <v>1230</v>
      </c>
      <c r="K96" s="304" t="s">
        <v>1231</v>
      </c>
      <c r="M96" s="305">
        <f>IF(ISNUMBER(SEARCH(ZAKL_DATA!$B$29,N96)),MAX($M$2:M95)+1,0)</f>
        <v>94</v>
      </c>
      <c r="N96" s="306" t="s">
        <v>1232</v>
      </c>
      <c r="O96" s="307" t="s">
        <v>1233</v>
      </c>
      <c r="P96" s="308"/>
      <c r="Q96" s="309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306" t="s">
        <v>1232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306" t="s">
        <v>1232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306" t="s">
        <v>1232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282"/>
      <c r="B97" s="282"/>
      <c r="C97" s="282"/>
      <c r="D97" s="298">
        <f>IF(ISNUMBER(SEARCH(ZAKL_DATA!$B$14,E97)),MAX($D$2:D96)+1,0)</f>
        <v>95</v>
      </c>
      <c r="E97" s="312" t="s">
        <v>1234</v>
      </c>
      <c r="F97" s="313">
        <v>2603</v>
      </c>
      <c r="G97" s="314"/>
      <c r="H97" s="315" t="str">
        <f>IFERROR(VLOOKUP(ROWS($H$3:H97),$D$3:$E$204,2,0),"")</f>
        <v>FRÝDLANT</v>
      </c>
      <c r="I97" s="282"/>
      <c r="J97" s="317" t="s">
        <v>1235</v>
      </c>
      <c r="K97" s="304" t="s">
        <v>1236</v>
      </c>
      <c r="M97" s="305">
        <f>IF(ISNUMBER(SEARCH(ZAKL_DATA!$B$29,N97)),MAX($M$2:M96)+1,0)</f>
        <v>95</v>
      </c>
      <c r="N97" s="306" t="s">
        <v>1237</v>
      </c>
      <c r="O97" s="307" t="s">
        <v>1238</v>
      </c>
      <c r="P97" s="308"/>
      <c r="Q97" s="309" t="str">
        <f>IFERROR(VLOOKUP(ROWS($Q$3:Q97),$M$3:$N$992,2,0),"")</f>
        <v>Vzdělávání</v>
      </c>
      <c r="R97">
        <f>IF(ISNUMBER(SEARCH('1Př1'!$A$32,N97)),MAX($M$2:M96)+1,0)</f>
        <v>95</v>
      </c>
      <c r="S97" s="306" t="s">
        <v>1237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306" t="s">
        <v>1237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306" t="s">
        <v>1237</v>
      </c>
      <c r="Z97" t="str">
        <f>IFERROR(VLOOKUP(ROWS($Z$3:Z97),$X$3:$Y$992,2,0),"")</f>
        <v>Vzdělávání</v>
      </c>
    </row>
    <row r="98" spans="1:26" ht="12.75" customHeight="1">
      <c r="A98" s="282"/>
      <c r="B98" s="282"/>
      <c r="C98" s="282"/>
      <c r="D98" s="298">
        <f>IF(ISNUMBER(SEARCH(ZAKL_DATA!$B$14,E98)),MAX($D$2:D97)+1,0)</f>
        <v>96</v>
      </c>
      <c r="E98" s="312" t="s">
        <v>1239</v>
      </c>
      <c r="F98" s="313">
        <v>2604</v>
      </c>
      <c r="G98" s="314"/>
      <c r="H98" s="315" t="str">
        <f>IFERROR(VLOOKUP(ROWS($H$3:H98),$D$3:$E$204,2,0),"")</f>
        <v>JABLONEC NAD NISOU</v>
      </c>
      <c r="I98" s="282"/>
      <c r="J98" s="317" t="s">
        <v>1240</v>
      </c>
      <c r="K98" s="304" t="s">
        <v>1241</v>
      </c>
      <c r="M98" s="305">
        <f>IF(ISNUMBER(SEARCH(ZAKL_DATA!$B$29,N98)),MAX($M$2:M97)+1,0)</f>
        <v>96</v>
      </c>
      <c r="N98" s="306" t="s">
        <v>1242</v>
      </c>
      <c r="O98" s="307" t="s">
        <v>1243</v>
      </c>
      <c r="P98" s="308"/>
      <c r="Q98" s="309" t="str">
        <f>IFERROR(VLOOKUP(ROWS($Q$3:Q98),$M$3:$N$992,2,0),"")</f>
        <v>Zdravotní péče</v>
      </c>
      <c r="R98">
        <f>IF(ISNUMBER(SEARCH('1Př1'!$A$32,N98)),MAX($M$2:M97)+1,0)</f>
        <v>96</v>
      </c>
      <c r="S98" s="306" t="s">
        <v>1242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306" t="s">
        <v>1242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306" t="s">
        <v>1242</v>
      </c>
      <c r="Z98" t="str">
        <f>IFERROR(VLOOKUP(ROWS($Z$3:Z98),$X$3:$Y$992,2,0),"")</f>
        <v>Zdravotní péče</v>
      </c>
    </row>
    <row r="99" spans="1:26" ht="12.75" customHeight="1">
      <c r="A99" s="282"/>
      <c r="B99" s="282"/>
      <c r="C99" s="282"/>
      <c r="D99" s="298">
        <f>IF(ISNUMBER(SEARCH(ZAKL_DATA!$B$14,E99)),MAX($D$2:D98)+1,0)</f>
        <v>97</v>
      </c>
      <c r="E99" s="312" t="s">
        <v>1244</v>
      </c>
      <c r="F99" s="313">
        <v>2605</v>
      </c>
      <c r="G99" s="314"/>
      <c r="H99" s="315" t="str">
        <f>IFERROR(VLOOKUP(ROWS($H$3:H99),$D$3:$E$204,2,0),"")</f>
        <v>JILEMNICE</v>
      </c>
      <c r="I99" s="282"/>
      <c r="J99" s="317" t="s">
        <v>1245</v>
      </c>
      <c r="K99" s="304" t="s">
        <v>1246</v>
      </c>
      <c r="M99" s="305">
        <f>IF(ISNUMBER(SEARCH(ZAKL_DATA!$B$29,N99)),MAX($M$2:M98)+1,0)</f>
        <v>97</v>
      </c>
      <c r="N99" s="306" t="s">
        <v>1247</v>
      </c>
      <c r="O99" s="307" t="s">
        <v>1248</v>
      </c>
      <c r="P99" s="308"/>
      <c r="Q99" s="309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306" t="s">
        <v>1247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306" t="s">
        <v>1247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306" t="s">
        <v>1247</v>
      </c>
      <c r="Z99" t="str">
        <f>IFERROR(VLOOKUP(ROWS($Z$3:Z99),$X$3:$Y$992,2,0),"")</f>
        <v>Pobytové služby sociální péče</v>
      </c>
    </row>
    <row r="100" spans="1:26" ht="12.75" customHeight="1">
      <c r="A100" s="282"/>
      <c r="B100" s="282"/>
      <c r="C100" s="282"/>
      <c r="D100" s="298">
        <f>IF(ISNUMBER(SEARCH(ZAKL_DATA!$B$14,E100)),MAX($D$2:D99)+1,0)</f>
        <v>98</v>
      </c>
      <c r="E100" s="312" t="s">
        <v>1249</v>
      </c>
      <c r="F100" s="313">
        <v>2606</v>
      </c>
      <c r="G100" s="314"/>
      <c r="H100" s="315" t="str">
        <f>IFERROR(VLOOKUP(ROWS($H$3:H100),$D$3:$E$204,2,0),"")</f>
        <v>NOVÝ BOR</v>
      </c>
      <c r="I100" s="282"/>
      <c r="J100" s="317" t="s">
        <v>1250</v>
      </c>
      <c r="K100" s="304" t="s">
        <v>1251</v>
      </c>
      <c r="M100" s="305">
        <f>IF(ISNUMBER(SEARCH(ZAKL_DATA!$B$29,N100)),MAX($M$2:M99)+1,0)</f>
        <v>98</v>
      </c>
      <c r="N100" s="306" t="s">
        <v>1252</v>
      </c>
      <c r="O100" s="307" t="s">
        <v>1253</v>
      </c>
      <c r="P100" s="308"/>
      <c r="Q100" s="309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306" t="s">
        <v>1252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306" t="s">
        <v>1252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306" t="s">
        <v>1252</v>
      </c>
      <c r="Z100" t="str">
        <f>IFERROR(VLOOKUP(ROWS($Z$3:Z100),$X$3:$Y$992,2,0),"")</f>
        <v>Ambulantní nebo terénní sociální služby</v>
      </c>
    </row>
    <row r="101" spans="1:26" ht="12.75" customHeight="1">
      <c r="A101" s="282"/>
      <c r="B101" s="282"/>
      <c r="C101" s="282"/>
      <c r="D101" s="298">
        <f>IF(ISNUMBER(SEARCH(ZAKL_DATA!$B$14,E101)),MAX($D$2:D100)+1,0)</f>
        <v>99</v>
      </c>
      <c r="E101" s="312" t="s">
        <v>1254</v>
      </c>
      <c r="F101" s="313">
        <v>2607</v>
      </c>
      <c r="G101" s="314"/>
      <c r="H101" s="315" t="str">
        <f>IFERROR(VLOOKUP(ROWS($H$3:H101),$D$3:$E$204,2,0),"")</f>
        <v>SEMILY</v>
      </c>
      <c r="I101" s="282"/>
      <c r="J101" s="317" t="s">
        <v>1255</v>
      </c>
      <c r="K101" s="304" t="s">
        <v>1256</v>
      </c>
      <c r="M101" s="305">
        <f>IF(ISNUMBER(SEARCH(ZAKL_DATA!$B$29,N101)),MAX($M$2:M100)+1,0)</f>
        <v>99</v>
      </c>
      <c r="N101" s="306" t="s">
        <v>1257</v>
      </c>
      <c r="O101" s="307" t="s">
        <v>1258</v>
      </c>
      <c r="P101" s="308"/>
      <c r="Q101" s="309" t="str">
        <f>IFERROR(VLOOKUP(ROWS($Q$3:Q101),$M$3:$N$992,2,0),"")</f>
        <v>Těžba a dobývání j. n.</v>
      </c>
      <c r="R101">
        <f>IF(ISNUMBER(SEARCH('1Př1'!$A$32,N101)),MAX($M$2:M100)+1,0)</f>
        <v>99</v>
      </c>
      <c r="S101" s="306" t="s">
        <v>1257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306" t="s">
        <v>1257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306" t="s">
        <v>1257</v>
      </c>
      <c r="Z101" t="str">
        <f>IFERROR(VLOOKUP(ROWS($Z$3:Z101),$X$3:$Y$992,2,0),"")</f>
        <v>Těžba a dobývání j. n.</v>
      </c>
    </row>
    <row r="102" spans="1:26" ht="12.75" customHeight="1">
      <c r="A102" s="282"/>
      <c r="B102" s="282"/>
      <c r="C102" s="282"/>
      <c r="D102" s="298">
        <f>IF(ISNUMBER(SEARCH(ZAKL_DATA!$B$14,E102)),MAX($D$2:D101)+1,0)</f>
        <v>100</v>
      </c>
      <c r="E102" s="312" t="s">
        <v>1259</v>
      </c>
      <c r="F102" s="313">
        <v>2608</v>
      </c>
      <c r="G102" s="314"/>
      <c r="H102" s="315" t="str">
        <f>IFERROR(VLOOKUP(ROWS($H$3:H102),$D$3:$E$204,2,0),"")</f>
        <v>TANVALD</v>
      </c>
      <c r="I102" s="282"/>
      <c r="J102" s="317" t="s">
        <v>1260</v>
      </c>
      <c r="K102" s="304" t="s">
        <v>1261</v>
      </c>
      <c r="M102" s="305">
        <f>IF(ISNUMBER(SEARCH(ZAKL_DATA!$B$29,N102)),MAX($M$2:M101)+1,0)</f>
        <v>100</v>
      </c>
      <c r="N102" s="306" t="s">
        <v>1262</v>
      </c>
      <c r="O102" s="307" t="s">
        <v>1263</v>
      </c>
      <c r="P102" s="308"/>
      <c r="Q102" s="309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306" t="s">
        <v>1262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306" t="s">
        <v>1262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306" t="s">
        <v>1262</v>
      </c>
      <c r="Z102" t="str">
        <f>IFERROR(VLOOKUP(ROWS($Z$3:Z102),$X$3:$Y$992,2,0),"")</f>
        <v>Tvůrčí, umělecké a zábavní činnosti</v>
      </c>
    </row>
    <row r="103" spans="1:26" ht="12.75" customHeight="1">
      <c r="A103" s="282"/>
      <c r="B103" s="282"/>
      <c r="C103" s="282"/>
      <c r="D103" s="298">
        <f>IF(ISNUMBER(SEARCH(ZAKL_DATA!$B$14,E103)),MAX($D$2:D102)+1,0)</f>
        <v>101</v>
      </c>
      <c r="E103" s="312" t="s">
        <v>1264</v>
      </c>
      <c r="F103" s="313">
        <v>2609</v>
      </c>
      <c r="G103" s="314"/>
      <c r="H103" s="315" t="str">
        <f>IFERROR(VLOOKUP(ROWS($H$3:H103),$D$3:$E$204,2,0),"")</f>
        <v>TURNOV</v>
      </c>
      <c r="I103" s="282"/>
      <c r="J103" s="317" t="s">
        <v>1265</v>
      </c>
      <c r="K103" s="304" t="s">
        <v>1266</v>
      </c>
      <c r="M103" s="305">
        <f>IF(ISNUMBER(SEARCH(ZAKL_DATA!$B$29,N103)),MAX($M$2:M102)+1,0)</f>
        <v>101</v>
      </c>
      <c r="N103" s="306" t="s">
        <v>1267</v>
      </c>
      <c r="O103" s="307" t="s">
        <v>1268</v>
      </c>
      <c r="P103" s="308"/>
      <c r="Q103" s="309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306" t="s">
        <v>1267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306" t="s">
        <v>1267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306" t="s">
        <v>1267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282"/>
      <c r="B104" s="282"/>
      <c r="C104" s="282"/>
      <c r="D104" s="298">
        <f>IF(ISNUMBER(SEARCH(ZAKL_DATA!$B$14,E104)),MAX($D$2:D103)+1,0)</f>
        <v>102</v>
      </c>
      <c r="E104" s="312" t="s">
        <v>1269</v>
      </c>
      <c r="F104" s="313">
        <v>2610</v>
      </c>
      <c r="G104" s="314"/>
      <c r="H104" s="315" t="str">
        <f>IFERROR(VLOOKUP(ROWS($H$3:H104),$D$3:$E$204,2,0),"")</f>
        <v>ŽELEZNÝ BROD</v>
      </c>
      <c r="I104" s="282"/>
      <c r="J104" s="317" t="s">
        <v>1270</v>
      </c>
      <c r="K104" s="304" t="s">
        <v>1271</v>
      </c>
      <c r="M104" s="305">
        <f>IF(ISNUMBER(SEARCH(ZAKL_DATA!$B$29,N104)),MAX($M$2:M103)+1,0)</f>
        <v>102</v>
      </c>
      <c r="N104" s="306" t="s">
        <v>1272</v>
      </c>
      <c r="O104" s="307" t="s">
        <v>1273</v>
      </c>
      <c r="P104" s="308"/>
      <c r="Q104" s="309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306" t="s">
        <v>1272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306" t="s">
        <v>1272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306" t="s">
        <v>1272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282"/>
      <c r="B105" s="282"/>
      <c r="C105" s="282"/>
      <c r="D105" s="298">
        <f>IF(ISNUMBER(SEARCH(ZAKL_DATA!$B$14,E105)),MAX($D$2:D104)+1,0)</f>
        <v>103</v>
      </c>
      <c r="E105" s="312" t="s">
        <v>1274</v>
      </c>
      <c r="F105" s="313">
        <v>2701</v>
      </c>
      <c r="G105" s="314"/>
      <c r="H105" s="315" t="str">
        <f>IFERROR(VLOOKUP(ROWS($H$3:H105),$D$3:$E$204,2,0),"")</f>
        <v>HRADEC KRÁLOVÉ</v>
      </c>
      <c r="I105" s="282"/>
      <c r="J105" s="317" t="s">
        <v>1275</v>
      </c>
      <c r="K105" s="304" t="s">
        <v>1276</v>
      </c>
      <c r="M105" s="305">
        <f>IF(ISNUMBER(SEARCH(ZAKL_DATA!$B$29,N105)),MAX($M$2:M104)+1,0)</f>
        <v>103</v>
      </c>
      <c r="N105" s="306" t="s">
        <v>1277</v>
      </c>
      <c r="O105" s="307" t="s">
        <v>1278</v>
      </c>
      <c r="P105" s="308"/>
      <c r="Q105" s="309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306" t="s">
        <v>1277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306" t="s">
        <v>1277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306" t="s">
        <v>1277</v>
      </c>
      <c r="Z105" t="str">
        <f>IFERROR(VLOOKUP(ROWS($Z$3:Z105),$X$3:$Y$992,2,0),"")</f>
        <v>Činnosti heren, kasin a sázkových kanceláří</v>
      </c>
    </row>
    <row r="106" spans="1:26" ht="12.75" customHeight="1">
      <c r="A106" s="282"/>
      <c r="B106" s="282"/>
      <c r="C106" s="282"/>
      <c r="D106" s="298">
        <f>IF(ISNUMBER(SEARCH(ZAKL_DATA!$B$14,E106)),MAX($D$2:D105)+1,0)</f>
        <v>104</v>
      </c>
      <c r="E106" s="312" t="s">
        <v>1279</v>
      </c>
      <c r="F106" s="313">
        <v>2702</v>
      </c>
      <c r="G106" s="314"/>
      <c r="H106" s="315" t="str">
        <f>IFERROR(VLOOKUP(ROWS($H$3:H106),$D$3:$E$204,2,0),"")</f>
        <v>BROUMOV</v>
      </c>
      <c r="I106" s="282"/>
      <c r="J106" s="317" t="s">
        <v>1280</v>
      </c>
      <c r="K106" s="304" t="s">
        <v>1281</v>
      </c>
      <c r="M106" s="305">
        <f>IF(ISNUMBER(SEARCH(ZAKL_DATA!$B$29,N106)),MAX($M$2:M105)+1,0)</f>
        <v>104</v>
      </c>
      <c r="N106" s="306" t="s">
        <v>1282</v>
      </c>
      <c r="O106" s="307" t="s">
        <v>1283</v>
      </c>
      <c r="P106" s="308"/>
      <c r="Q106" s="309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306" t="s">
        <v>1282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306" t="s">
        <v>1282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306" t="s">
        <v>1282</v>
      </c>
      <c r="Z106" t="str">
        <f>IFERROR(VLOOKUP(ROWS($Z$3:Z106),$X$3:$Y$992,2,0),"")</f>
        <v>Sportovní, zábavní a rekreační činnosti</v>
      </c>
    </row>
    <row r="107" spans="1:26" ht="12.75" customHeight="1">
      <c r="A107" s="282"/>
      <c r="B107" s="282"/>
      <c r="C107" s="282"/>
      <c r="D107" s="298">
        <f>IF(ISNUMBER(SEARCH(ZAKL_DATA!$B$14,E107)),MAX($D$2:D106)+1,0)</f>
        <v>105</v>
      </c>
      <c r="E107" s="312" t="s">
        <v>1284</v>
      </c>
      <c r="F107" s="313">
        <v>2703</v>
      </c>
      <c r="G107" s="314"/>
      <c r="H107" s="315" t="str">
        <f>IFERROR(VLOOKUP(ROWS($H$3:H107),$D$3:$E$204,2,0),"")</f>
        <v>DOBRUŠKA</v>
      </c>
      <c r="I107" s="282"/>
      <c r="J107" s="317" t="s">
        <v>1285</v>
      </c>
      <c r="K107" s="304" t="s">
        <v>1286</v>
      </c>
      <c r="M107" s="305">
        <f>IF(ISNUMBER(SEARCH(ZAKL_DATA!$B$29,N107)),MAX($M$2:M106)+1,0)</f>
        <v>105</v>
      </c>
      <c r="N107" s="306" t="s">
        <v>1287</v>
      </c>
      <c r="O107" s="307" t="s">
        <v>1288</v>
      </c>
      <c r="P107" s="308"/>
      <c r="Q107" s="309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306" t="s">
        <v>1287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306" t="s">
        <v>1287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306" t="s">
        <v>1287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282"/>
      <c r="B108" s="282"/>
      <c r="C108" s="282"/>
      <c r="D108" s="298">
        <f>IF(ISNUMBER(SEARCH(ZAKL_DATA!$B$14,E108)),MAX($D$2:D107)+1,0)</f>
        <v>106</v>
      </c>
      <c r="E108" s="312" t="s">
        <v>1289</v>
      </c>
      <c r="F108" s="313">
        <v>2704</v>
      </c>
      <c r="G108" s="314"/>
      <c r="H108" s="315" t="str">
        <f>IFERROR(VLOOKUP(ROWS($H$3:H108),$D$3:$E$204,2,0),"")</f>
        <v>DVŮR KRÁLOVÉ</v>
      </c>
      <c r="I108" s="282"/>
      <c r="J108" s="317" t="s">
        <v>1290</v>
      </c>
      <c r="K108" s="304" t="s">
        <v>1291</v>
      </c>
      <c r="M108" s="305">
        <f>IF(ISNUMBER(SEARCH(ZAKL_DATA!$B$29,N108)),MAX($M$2:M107)+1,0)</f>
        <v>106</v>
      </c>
      <c r="N108" s="306" t="s">
        <v>1292</v>
      </c>
      <c r="O108" s="307" t="s">
        <v>1293</v>
      </c>
      <c r="P108" s="308"/>
      <c r="Q108" s="309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306" t="s">
        <v>1292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306" t="s">
        <v>1292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306" t="s">
        <v>1292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282"/>
      <c r="B109" s="282"/>
      <c r="C109" s="282"/>
      <c r="D109" s="298">
        <f>IF(ISNUMBER(SEARCH(ZAKL_DATA!$B$14,E109)),MAX($D$2:D108)+1,0)</f>
        <v>107</v>
      </c>
      <c r="E109" s="312" t="s">
        <v>1294</v>
      </c>
      <c r="F109" s="313">
        <v>2705</v>
      </c>
      <c r="G109" s="314"/>
      <c r="H109" s="315" t="str">
        <f>IFERROR(VLOOKUP(ROWS($H$3:H109),$D$3:$E$204,2,0),"")</f>
        <v>HOŘICE</v>
      </c>
      <c r="I109" s="282"/>
      <c r="J109" s="317" t="s">
        <v>1295</v>
      </c>
      <c r="K109" s="304" t="s">
        <v>1296</v>
      </c>
      <c r="M109" s="305">
        <f>IF(ISNUMBER(SEARCH(ZAKL_DATA!$B$29,N109)),MAX($M$2:M108)+1,0)</f>
        <v>107</v>
      </c>
      <c r="N109" s="306" t="s">
        <v>1297</v>
      </c>
      <c r="O109" s="307" t="s">
        <v>1298</v>
      </c>
      <c r="P109" s="308"/>
      <c r="Q109" s="309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306" t="s">
        <v>1297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306" t="s">
        <v>1297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306" t="s">
        <v>1297</v>
      </c>
      <c r="Z109" t="str">
        <f>IFERROR(VLOOKUP(ROWS($Z$3:Z109),$X$3:$Y$992,2,0),"")</f>
        <v>Poskytování ostatních osobních služeb</v>
      </c>
    </row>
    <row r="110" spans="1:26" ht="12.75" customHeight="1">
      <c r="A110" s="282"/>
      <c r="B110" s="282"/>
      <c r="C110" s="282"/>
      <c r="D110" s="298">
        <f>IF(ISNUMBER(SEARCH(ZAKL_DATA!$B$14,E110)),MAX($D$2:D109)+1,0)</f>
        <v>108</v>
      </c>
      <c r="E110" s="312" t="s">
        <v>1299</v>
      </c>
      <c r="F110" s="313">
        <v>2706</v>
      </c>
      <c r="G110" s="314"/>
      <c r="H110" s="315" t="str">
        <f>IFERROR(VLOOKUP(ROWS($H$3:H110),$D$3:$E$204,2,0),"")</f>
        <v>JAROMĚŘ</v>
      </c>
      <c r="I110" s="282"/>
      <c r="J110" s="317" t="s">
        <v>1300</v>
      </c>
      <c r="K110" s="304" t="s">
        <v>1301</v>
      </c>
      <c r="M110" s="305">
        <f>IF(ISNUMBER(SEARCH(ZAKL_DATA!$B$29,N110)),MAX($M$2:M109)+1,0)</f>
        <v>108</v>
      </c>
      <c r="N110" s="306" t="s">
        <v>1302</v>
      </c>
      <c r="O110" s="307" t="s">
        <v>1303</v>
      </c>
      <c r="P110" s="308"/>
      <c r="Q110" s="309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306" t="s">
        <v>1302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306" t="s">
        <v>1302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306" t="s">
        <v>1302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282"/>
      <c r="B111" s="282"/>
      <c r="C111" s="282"/>
      <c r="D111" s="298">
        <f>IF(ISNUMBER(SEARCH(ZAKL_DATA!$B$14,E111)),MAX($D$2:D110)+1,0)</f>
        <v>109</v>
      </c>
      <c r="E111" s="312" t="s">
        <v>1304</v>
      </c>
      <c r="F111" s="313">
        <v>2707</v>
      </c>
      <c r="G111" s="314"/>
      <c r="H111" s="315" t="str">
        <f>IFERROR(VLOOKUP(ROWS($H$3:H111),$D$3:$E$204,2,0),"")</f>
        <v>JIČÍN</v>
      </c>
      <c r="I111" s="282"/>
      <c r="J111" s="317" t="s">
        <v>1305</v>
      </c>
      <c r="K111" s="304" t="s">
        <v>1306</v>
      </c>
      <c r="M111" s="305">
        <f>IF(ISNUMBER(SEARCH(ZAKL_DATA!$B$29,N111)),MAX($M$2:M110)+1,0)</f>
        <v>109</v>
      </c>
      <c r="N111" s="306" t="s">
        <v>1307</v>
      </c>
      <c r="O111" s="307" t="s">
        <v>1308</v>
      </c>
      <c r="P111" s="308"/>
      <c r="Q111" s="309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306" t="s">
        <v>1307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306" t="s">
        <v>1307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306" t="s">
        <v>1307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282"/>
      <c r="B112" s="282"/>
      <c r="C112" s="282"/>
      <c r="D112" s="298">
        <f>IF(ISNUMBER(SEARCH(ZAKL_DATA!$B$14,E112)),MAX($D$2:D111)+1,0)</f>
        <v>110</v>
      </c>
      <c r="E112" s="312" t="s">
        <v>1309</v>
      </c>
      <c r="F112" s="313">
        <v>2708</v>
      </c>
      <c r="G112" s="314"/>
      <c r="H112" s="315" t="str">
        <f>IFERROR(VLOOKUP(ROWS($H$3:H112),$D$3:$E$204,2,0),"")</f>
        <v>KOSTELEC NAD ORLICÍ</v>
      </c>
      <c r="I112" s="282"/>
      <c r="J112" s="317" t="s">
        <v>1310</v>
      </c>
      <c r="K112" s="304" t="s">
        <v>1311</v>
      </c>
      <c r="M112" s="305">
        <f>IF(ISNUMBER(SEARCH(ZAKL_DATA!$B$29,N112)),MAX($M$2:M111)+1,0)</f>
        <v>110</v>
      </c>
      <c r="N112" s="306" t="s">
        <v>1312</v>
      </c>
      <c r="O112" s="307" t="s">
        <v>1313</v>
      </c>
      <c r="P112" s="308"/>
      <c r="Q112" s="309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306" t="s">
        <v>1312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306" t="s">
        <v>1312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306" t="s">
        <v>1312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282"/>
      <c r="B113" s="282"/>
      <c r="C113" s="282"/>
      <c r="D113" s="298">
        <f>IF(ISNUMBER(SEARCH(ZAKL_DATA!$B$14,E113)),MAX($D$2:D112)+1,0)</f>
        <v>111</v>
      </c>
      <c r="E113" s="312" t="s">
        <v>1314</v>
      </c>
      <c r="F113" s="313">
        <v>2709</v>
      </c>
      <c r="G113" s="314"/>
      <c r="H113" s="315" t="str">
        <f>IFERROR(VLOOKUP(ROWS($H$3:H113),$D$3:$E$204,2,0),"")</f>
        <v>NÁCHOD</v>
      </c>
      <c r="I113" s="282"/>
      <c r="J113" s="317" t="s">
        <v>1315</v>
      </c>
      <c r="K113" s="304" t="s">
        <v>1316</v>
      </c>
      <c r="M113" s="305">
        <f>IF(ISNUMBER(SEARCH(ZAKL_DATA!$B$29,N113)),MAX($M$2:M112)+1,0)</f>
        <v>111</v>
      </c>
      <c r="N113" s="306" t="s">
        <v>1317</v>
      </c>
      <c r="O113" s="307" t="s">
        <v>1318</v>
      </c>
      <c r="P113" s="308"/>
      <c r="Q113" s="309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306" t="s">
        <v>1317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306" t="s">
        <v>1317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306" t="s">
        <v>1317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282"/>
      <c r="B114" s="282"/>
      <c r="C114" s="282"/>
      <c r="D114" s="298">
        <f>IF(ISNUMBER(SEARCH(ZAKL_DATA!$B$14,E114)),MAX($D$2:D113)+1,0)</f>
        <v>112</v>
      </c>
      <c r="E114" s="312" t="s">
        <v>1319</v>
      </c>
      <c r="F114" s="313">
        <v>2710</v>
      </c>
      <c r="G114" s="314"/>
      <c r="H114" s="315" t="str">
        <f>IFERROR(VLOOKUP(ROWS($H$3:H114),$D$3:$E$204,2,0),"")</f>
        <v>NOVÁ PAKA</v>
      </c>
      <c r="I114" s="282"/>
      <c r="J114" s="317" t="s">
        <v>1320</v>
      </c>
      <c r="K114" s="304" t="s">
        <v>1321</v>
      </c>
      <c r="M114" s="305">
        <f>IF(ISNUMBER(SEARCH(ZAKL_DATA!$B$29,N114)),MAX($M$2:M113)+1,0)</f>
        <v>112</v>
      </c>
      <c r="N114" s="306" t="s">
        <v>1322</v>
      </c>
      <c r="O114" s="307" t="s">
        <v>1323</v>
      </c>
      <c r="P114" s="308"/>
      <c r="Q114" s="309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306" t="s">
        <v>1322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306" t="s">
        <v>1322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306" t="s">
        <v>1322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282"/>
      <c r="B115" s="282"/>
      <c r="C115" s="282"/>
      <c r="D115" s="298">
        <f>IF(ISNUMBER(SEARCH(ZAKL_DATA!$B$14,E115)),MAX($D$2:D114)+1,0)</f>
        <v>113</v>
      </c>
      <c r="E115" s="312" t="s">
        <v>1324</v>
      </c>
      <c r="F115" s="313">
        <v>2711</v>
      </c>
      <c r="G115" s="314"/>
      <c r="H115" s="315" t="str">
        <f>IFERROR(VLOOKUP(ROWS($H$3:H115),$D$3:$E$204,2,0),"")</f>
        <v>NOVÝ BYDŽOV</v>
      </c>
      <c r="I115" s="282"/>
      <c r="J115" s="317" t="s">
        <v>1325</v>
      </c>
      <c r="K115" s="304" t="s">
        <v>1326</v>
      </c>
      <c r="M115" s="305">
        <f>IF(ISNUMBER(SEARCH(ZAKL_DATA!$B$29,N115)),MAX($M$2:M114)+1,0)</f>
        <v>113</v>
      </c>
      <c r="N115" s="306" t="s">
        <v>1327</v>
      </c>
      <c r="O115" s="307" t="s">
        <v>1328</v>
      </c>
      <c r="P115" s="308"/>
      <c r="Q115" s="309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306" t="s">
        <v>1327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306" t="s">
        <v>1327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306" t="s">
        <v>1327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282"/>
      <c r="B116" s="282"/>
      <c r="C116" s="282"/>
      <c r="D116" s="298">
        <f>IF(ISNUMBER(SEARCH(ZAKL_DATA!$B$14,E116)),MAX($D$2:D115)+1,0)</f>
        <v>114</v>
      </c>
      <c r="E116" s="312" t="s">
        <v>1329</v>
      </c>
      <c r="F116" s="313">
        <v>2712</v>
      </c>
      <c r="G116" s="314"/>
      <c r="H116" s="315" t="str">
        <f>IFERROR(VLOOKUP(ROWS($H$3:H116),$D$3:$E$204,2,0),"")</f>
        <v>RYCHNOV NAD KNĚŽ.</v>
      </c>
      <c r="I116" s="282"/>
      <c r="J116" s="317" t="s">
        <v>1330</v>
      </c>
      <c r="K116" s="304" t="s">
        <v>1331</v>
      </c>
      <c r="M116" s="305">
        <f>IF(ISNUMBER(SEARCH(ZAKL_DATA!$B$29,N116)),MAX($M$2:M115)+1,0)</f>
        <v>114</v>
      </c>
      <c r="N116" s="306" t="s">
        <v>1332</v>
      </c>
      <c r="O116" s="307" t="s">
        <v>1333</v>
      </c>
      <c r="P116" s="308"/>
      <c r="Q116" s="309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306" t="s">
        <v>1332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306" t="s">
        <v>1332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306" t="s">
        <v>1332</v>
      </c>
      <c r="Z116" t="str">
        <f>IFERROR(VLOOKUP(ROWS($Z$3:Z116),$X$3:$Y$992,2,0),"")</f>
        <v>Zpracování a konzervování ovoce a zeleniny</v>
      </c>
    </row>
    <row r="117" spans="1:26" ht="12.75" customHeight="1">
      <c r="A117" s="282"/>
      <c r="B117" s="282"/>
      <c r="C117" s="282"/>
      <c r="D117" s="298">
        <f>IF(ISNUMBER(SEARCH(ZAKL_DATA!$B$14,E117)),MAX($D$2:D116)+1,0)</f>
        <v>115</v>
      </c>
      <c r="E117" s="312" t="s">
        <v>1334</v>
      </c>
      <c r="F117" s="313">
        <v>2713</v>
      </c>
      <c r="G117" s="314"/>
      <c r="H117" s="315" t="str">
        <f>IFERROR(VLOOKUP(ROWS($H$3:H117),$D$3:$E$204,2,0),"")</f>
        <v>TRUTNOV</v>
      </c>
      <c r="I117" s="282"/>
      <c r="J117" s="317" t="s">
        <v>1335</v>
      </c>
      <c r="K117" s="304" t="s">
        <v>1336</v>
      </c>
      <c r="M117" s="305">
        <f>IF(ISNUMBER(SEARCH(ZAKL_DATA!$B$29,N117)),MAX($M$2:M116)+1,0)</f>
        <v>115</v>
      </c>
      <c r="N117" s="306" t="s">
        <v>1337</v>
      </c>
      <c r="O117" s="307" t="s">
        <v>1338</v>
      </c>
      <c r="P117" s="308"/>
      <c r="Q117" s="309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306" t="s">
        <v>1337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306" t="s">
        <v>1337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306" t="s">
        <v>1337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282"/>
      <c r="B118" s="282"/>
      <c r="C118" s="282"/>
      <c r="D118" s="298">
        <f>IF(ISNUMBER(SEARCH(ZAKL_DATA!$B$14,E118)),MAX($D$2:D117)+1,0)</f>
        <v>116</v>
      </c>
      <c r="E118" s="312" t="s">
        <v>1339</v>
      </c>
      <c r="F118" s="313">
        <v>2714</v>
      </c>
      <c r="G118" s="314"/>
      <c r="H118" s="315" t="str">
        <f>IFERROR(VLOOKUP(ROWS($H$3:H118),$D$3:$E$204,2,0),"")</f>
        <v>VRCHLABÍ</v>
      </c>
      <c r="I118" s="282"/>
      <c r="J118" s="317" t="s">
        <v>1340</v>
      </c>
      <c r="K118" s="304" t="s">
        <v>1341</v>
      </c>
      <c r="M118" s="305">
        <f>IF(ISNUMBER(SEARCH(ZAKL_DATA!$B$29,N118)),MAX($M$2:M117)+1,0)</f>
        <v>116</v>
      </c>
      <c r="N118" s="306" t="s">
        <v>1342</v>
      </c>
      <c r="O118" s="307" t="s">
        <v>1343</v>
      </c>
      <c r="P118" s="308"/>
      <c r="Q118" s="309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306" t="s">
        <v>1342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306" t="s">
        <v>1342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306" t="s">
        <v>1342</v>
      </c>
      <c r="Z118" t="str">
        <f>IFERROR(VLOOKUP(ROWS($Z$3:Z118),$X$3:$Y$992,2,0),"")</f>
        <v>Výroba mléčných výrobků</v>
      </c>
    </row>
    <row r="119" spans="1:26" ht="12.75" customHeight="1">
      <c r="A119" s="282"/>
      <c r="B119" s="282"/>
      <c r="C119" s="282"/>
      <c r="D119" s="298">
        <f>IF(ISNUMBER(SEARCH(ZAKL_DATA!$B$14,E119)),MAX($D$2:D118)+1,0)</f>
        <v>117</v>
      </c>
      <c r="E119" s="312" t="s">
        <v>1344</v>
      </c>
      <c r="F119" s="313">
        <v>2801</v>
      </c>
      <c r="G119" s="314"/>
      <c r="H119" s="315" t="str">
        <f>IFERROR(VLOOKUP(ROWS($H$3:H119),$D$3:$E$204,2,0),"")</f>
        <v>PARDUBICE</v>
      </c>
      <c r="I119" s="282"/>
      <c r="J119" s="317" t="s">
        <v>1345</v>
      </c>
      <c r="K119" s="304" t="s">
        <v>1346</v>
      </c>
      <c r="M119" s="305">
        <f>IF(ISNUMBER(SEARCH(ZAKL_DATA!$B$29,N119)),MAX($M$2:M118)+1,0)</f>
        <v>117</v>
      </c>
      <c r="N119" s="306" t="s">
        <v>1347</v>
      </c>
      <c r="O119" s="307" t="s">
        <v>1348</v>
      </c>
      <c r="P119" s="308"/>
      <c r="Q119" s="309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306" t="s">
        <v>1347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306" t="s">
        <v>1347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306" t="s">
        <v>1347</v>
      </c>
      <c r="Z119" t="str">
        <f>IFERROR(VLOOKUP(ROWS($Z$3:Z119),$X$3:$Y$992,2,0),"")</f>
        <v>Výroba mlýnských a škrobárenských výrobků</v>
      </c>
    </row>
    <row r="120" spans="1:26" ht="12.75" customHeight="1">
      <c r="A120" s="282"/>
      <c r="B120" s="282"/>
      <c r="C120" s="282"/>
      <c r="D120" s="298">
        <f>IF(ISNUMBER(SEARCH(ZAKL_DATA!$B$14,E120)),MAX($D$2:D119)+1,0)</f>
        <v>118</v>
      </c>
      <c r="E120" s="312" t="s">
        <v>1349</v>
      </c>
      <c r="F120" s="313">
        <v>2802</v>
      </c>
      <c r="G120" s="314"/>
      <c r="H120" s="315" t="str">
        <f>IFERROR(VLOOKUP(ROWS($H$3:H120),$D$3:$E$204,2,0),"")</f>
        <v>HLINSKO</v>
      </c>
      <c r="I120" s="282"/>
      <c r="J120" s="317" t="s">
        <v>1350</v>
      </c>
      <c r="K120" s="304" t="s">
        <v>1351</v>
      </c>
      <c r="M120" s="305">
        <f>IF(ISNUMBER(SEARCH(ZAKL_DATA!$B$29,N120)),MAX($M$2:M119)+1,0)</f>
        <v>118</v>
      </c>
      <c r="N120" s="306" t="s">
        <v>1352</v>
      </c>
      <c r="O120" s="307" t="s">
        <v>1353</v>
      </c>
      <c r="P120" s="308"/>
      <c r="Q120" s="309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306" t="s">
        <v>1352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306" t="s">
        <v>1352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306" t="s">
        <v>1352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282"/>
      <c r="B121" s="282"/>
      <c r="C121" s="282"/>
      <c r="D121" s="298">
        <f>IF(ISNUMBER(SEARCH(ZAKL_DATA!$B$14,E121)),MAX($D$2:D120)+1,0)</f>
        <v>119</v>
      </c>
      <c r="E121" s="312" t="s">
        <v>1354</v>
      </c>
      <c r="F121" s="313">
        <v>2803</v>
      </c>
      <c r="G121" s="314"/>
      <c r="H121" s="315" t="str">
        <f>IFERROR(VLOOKUP(ROWS($H$3:H121),$D$3:$E$204,2,0),"")</f>
        <v>HOLICE</v>
      </c>
      <c r="I121" s="282"/>
      <c r="J121" s="317" t="s">
        <v>1355</v>
      </c>
      <c r="K121" s="304" t="s">
        <v>1356</v>
      </c>
      <c r="M121" s="305">
        <f>IF(ISNUMBER(SEARCH(ZAKL_DATA!$B$29,N121)),MAX($M$2:M120)+1,0)</f>
        <v>119</v>
      </c>
      <c r="N121" s="306" t="s">
        <v>1357</v>
      </c>
      <c r="O121" s="307" t="s">
        <v>1358</v>
      </c>
      <c r="P121" s="308"/>
      <c r="Q121" s="309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306" t="s">
        <v>1357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306" t="s">
        <v>1357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306" t="s">
        <v>1357</v>
      </c>
      <c r="Z121" t="str">
        <f>IFERROR(VLOOKUP(ROWS($Z$3:Z121),$X$3:$Y$992,2,0),"")</f>
        <v>Výroba ostatních potravinářských výrobků</v>
      </c>
    </row>
    <row r="122" spans="1:26" ht="12.75" customHeight="1">
      <c r="A122" s="282"/>
      <c r="B122" s="282"/>
      <c r="C122" s="282"/>
      <c r="D122" s="298">
        <f>IF(ISNUMBER(SEARCH(ZAKL_DATA!$B$14,E122)),MAX($D$2:D121)+1,0)</f>
        <v>120</v>
      </c>
      <c r="E122" s="312" t="s">
        <v>1359</v>
      </c>
      <c r="F122" s="313">
        <v>2804</v>
      </c>
      <c r="G122" s="314"/>
      <c r="H122" s="315" t="str">
        <f>IFERROR(VLOOKUP(ROWS($H$3:H122),$D$3:$E$204,2,0),"")</f>
        <v>CHRUDIM</v>
      </c>
      <c r="I122" s="282"/>
      <c r="J122" s="317" t="s">
        <v>1360</v>
      </c>
      <c r="K122" s="304" t="s">
        <v>1361</v>
      </c>
      <c r="M122" s="305">
        <f>IF(ISNUMBER(SEARCH(ZAKL_DATA!$B$29,N122)),MAX($M$2:M121)+1,0)</f>
        <v>120</v>
      </c>
      <c r="N122" s="306" t="s">
        <v>1362</v>
      </c>
      <c r="O122" s="307" t="s">
        <v>1363</v>
      </c>
      <c r="P122" s="308"/>
      <c r="Q122" s="309" t="str">
        <f>IFERROR(VLOOKUP(ROWS($Q$3:Q122),$M$3:$N$992,2,0),"")</f>
        <v>Výroba průmyslových krmiv</v>
      </c>
      <c r="R122">
        <f>IF(ISNUMBER(SEARCH('1Př1'!$A$32,N122)),MAX($M$2:M121)+1,0)</f>
        <v>120</v>
      </c>
      <c r="S122" s="306" t="s">
        <v>1362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306" t="s">
        <v>1362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306" t="s">
        <v>1362</v>
      </c>
      <c r="Z122" t="str">
        <f>IFERROR(VLOOKUP(ROWS($Z$3:Z122),$X$3:$Y$992,2,0),"")</f>
        <v>Výroba průmyslových krmiv</v>
      </c>
    </row>
    <row r="123" spans="1:26" ht="12.75" customHeight="1">
      <c r="A123" s="282"/>
      <c r="B123" s="282"/>
      <c r="C123" s="282"/>
      <c r="D123" s="298">
        <f>IF(ISNUMBER(SEARCH(ZAKL_DATA!$B$14,E123)),MAX($D$2:D122)+1,0)</f>
        <v>121</v>
      </c>
      <c r="E123" s="312" t="s">
        <v>1364</v>
      </c>
      <c r="F123" s="313">
        <v>2805</v>
      </c>
      <c r="G123" s="314"/>
      <c r="H123" s="315" t="str">
        <f>IFERROR(VLOOKUP(ROWS($H$3:H123),$D$3:$E$204,2,0),"")</f>
        <v>LITOMYŠL</v>
      </c>
      <c r="I123" s="282"/>
      <c r="J123" s="317" t="s">
        <v>1365</v>
      </c>
      <c r="K123" s="304" t="s">
        <v>1366</v>
      </c>
      <c r="M123" s="305">
        <f>IF(ISNUMBER(SEARCH(ZAKL_DATA!$B$29,N123)),MAX($M$2:M122)+1,0)</f>
        <v>121</v>
      </c>
      <c r="N123" s="306" t="s">
        <v>1367</v>
      </c>
      <c r="O123" s="323" t="s">
        <v>1368</v>
      </c>
      <c r="P123" s="308"/>
      <c r="Q123" s="309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306" t="s">
        <v>1367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306" t="s">
        <v>1367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306" t="s">
        <v>1367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282"/>
      <c r="B124" s="282"/>
      <c r="C124" s="282"/>
      <c r="D124" s="298">
        <f>IF(ISNUMBER(SEARCH(ZAKL_DATA!$B$14,E124)),MAX($D$2:D123)+1,0)</f>
        <v>122</v>
      </c>
      <c r="E124" s="312" t="s">
        <v>1369</v>
      </c>
      <c r="F124" s="313">
        <v>2806</v>
      </c>
      <c r="G124" s="314"/>
      <c r="H124" s="315" t="str">
        <f>IFERROR(VLOOKUP(ROWS($H$3:H124),$D$3:$E$204,2,0),"")</f>
        <v>MORAVSKÁ TŘEBOVÁ</v>
      </c>
      <c r="I124" s="282"/>
      <c r="J124" s="324" t="s">
        <v>1370</v>
      </c>
      <c r="K124" s="325" t="s">
        <v>1371</v>
      </c>
      <c r="M124" s="305">
        <f>IF(ISNUMBER(SEARCH(ZAKL_DATA!$B$29,N124)),MAX($M$2:M123)+1,0)</f>
        <v>122</v>
      </c>
      <c r="N124" s="306" t="s">
        <v>1372</v>
      </c>
      <c r="O124" s="323" t="s">
        <v>1373</v>
      </c>
      <c r="P124" s="308"/>
      <c r="Q124" s="309" t="str">
        <f>IFERROR(VLOOKUP(ROWS($Q$3:Q124),$M$3:$N$992,2,0),"")</f>
        <v>Pěstování rýže</v>
      </c>
      <c r="R124">
        <f>IF(ISNUMBER(SEARCH('1Př1'!$A$32,N124)),MAX($M$2:M123)+1,0)</f>
        <v>122</v>
      </c>
      <c r="S124" s="306" t="s">
        <v>1372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306" t="s">
        <v>1372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306" t="s">
        <v>1372</v>
      </c>
      <c r="Z124" t="str">
        <f>IFERROR(VLOOKUP(ROWS($Z$3:Z124),$X$3:$Y$992,2,0),"")</f>
        <v>Pěstování rýže</v>
      </c>
    </row>
    <row r="125" spans="1:26" ht="12.75" customHeight="1">
      <c r="A125" s="282"/>
      <c r="B125" s="282"/>
      <c r="C125" s="282"/>
      <c r="D125" s="298">
        <f>IF(ISNUMBER(SEARCH(ZAKL_DATA!$B$14,E125)),MAX($D$2:D124)+1,0)</f>
        <v>123</v>
      </c>
      <c r="E125" s="312" t="s">
        <v>1374</v>
      </c>
      <c r="F125" s="313">
        <v>2807</v>
      </c>
      <c r="G125" s="314"/>
      <c r="H125" s="315" t="str">
        <f>IFERROR(VLOOKUP(ROWS($H$3:H125),$D$3:$E$204,2,0),"")</f>
        <v>PŘELOUČ</v>
      </c>
      <c r="I125" s="282"/>
      <c r="J125" s="317" t="s">
        <v>1375</v>
      </c>
      <c r="K125" s="304" t="s">
        <v>1376</v>
      </c>
      <c r="M125" s="305">
        <f>IF(ISNUMBER(SEARCH(ZAKL_DATA!$B$29,N125)),MAX($M$2:M124)+1,0)</f>
        <v>123</v>
      </c>
      <c r="N125" s="306" t="s">
        <v>1377</v>
      </c>
      <c r="O125" s="323" t="s">
        <v>1378</v>
      </c>
      <c r="P125" s="308"/>
      <c r="Q125" s="309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306" t="s">
        <v>1377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306" t="s">
        <v>1377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306" t="s">
        <v>1377</v>
      </c>
      <c r="Z125" t="str">
        <f>IFERROR(VLOOKUP(ROWS($Z$3:Z125),$X$3:$Y$992,2,0),"")</f>
        <v>Pěstování zeleniny a melounů, kořenů a hlíz</v>
      </c>
    </row>
    <row r="126" spans="1:26" ht="12.75" customHeight="1">
      <c r="A126" s="282"/>
      <c r="B126" s="282"/>
      <c r="C126" s="282"/>
      <c r="D126" s="298">
        <f>IF(ISNUMBER(SEARCH(ZAKL_DATA!$B$14,E126)),MAX($D$2:D125)+1,0)</f>
        <v>124</v>
      </c>
      <c r="E126" s="312" t="s">
        <v>1379</v>
      </c>
      <c r="F126" s="313">
        <v>2808</v>
      </c>
      <c r="G126" s="314"/>
      <c r="H126" s="315" t="str">
        <f>IFERROR(VLOOKUP(ROWS($H$3:H126),$D$3:$E$204,2,0),"")</f>
        <v>SVITAVY</v>
      </c>
      <c r="I126" s="282"/>
      <c r="J126" s="317" t="s">
        <v>1380</v>
      </c>
      <c r="K126" s="304" t="s">
        <v>1381</v>
      </c>
      <c r="M126" s="305">
        <f>IF(ISNUMBER(SEARCH(ZAKL_DATA!$B$29,N126)),MAX($M$2:M125)+1,0)</f>
        <v>124</v>
      </c>
      <c r="N126" s="306" t="s">
        <v>1382</v>
      </c>
      <c r="O126" s="323" t="s">
        <v>1383</v>
      </c>
      <c r="P126" s="308"/>
      <c r="Q126" s="309" t="str">
        <f>IFERROR(VLOOKUP(ROWS($Q$3:Q126),$M$3:$N$992,2,0),"")</f>
        <v>Pěstování tabáku</v>
      </c>
      <c r="R126">
        <f>IF(ISNUMBER(SEARCH('1Př1'!$A$32,N126)),MAX($M$2:M125)+1,0)</f>
        <v>124</v>
      </c>
      <c r="S126" s="306" t="s">
        <v>1382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306" t="s">
        <v>1382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306" t="s">
        <v>1382</v>
      </c>
      <c r="Z126" t="str">
        <f>IFERROR(VLOOKUP(ROWS($Z$3:Z126),$X$3:$Y$992,2,0),"")</f>
        <v>Pěstování tabáku</v>
      </c>
    </row>
    <row r="127" spans="1:26" ht="12.75" customHeight="1">
      <c r="A127" s="282"/>
      <c r="B127" s="282"/>
      <c r="C127" s="282"/>
      <c r="D127" s="298">
        <f>IF(ISNUMBER(SEARCH(ZAKL_DATA!$B$14,E127)),MAX($D$2:D126)+1,0)</f>
        <v>125</v>
      </c>
      <c r="E127" s="312" t="s">
        <v>1384</v>
      </c>
      <c r="F127" s="313">
        <v>2809</v>
      </c>
      <c r="G127" s="314"/>
      <c r="H127" s="315" t="str">
        <f>IFERROR(VLOOKUP(ROWS($H$3:H127),$D$3:$E$204,2,0),"")</f>
        <v>ÚSTÍ NAD ORLICÍ</v>
      </c>
      <c r="I127" s="282"/>
      <c r="J127" s="317" t="s">
        <v>1385</v>
      </c>
      <c r="K127" s="304" t="s">
        <v>1386</v>
      </c>
      <c r="M127" s="305">
        <f>IF(ISNUMBER(SEARCH(ZAKL_DATA!$B$29,N127)),MAX($M$2:M126)+1,0)</f>
        <v>125</v>
      </c>
      <c r="N127" s="306" t="s">
        <v>1387</v>
      </c>
      <c r="O127" s="323" t="s">
        <v>1388</v>
      </c>
      <c r="P127" s="308"/>
      <c r="Q127" s="309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306" t="s">
        <v>1387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306" t="s">
        <v>1387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306" t="s">
        <v>1387</v>
      </c>
      <c r="Z127" t="str">
        <f>IFERROR(VLOOKUP(ROWS($Z$3:Z127),$X$3:$Y$992,2,0),"")</f>
        <v>Pěstování přadných rostlin</v>
      </c>
    </row>
    <row r="128" spans="1:26" ht="12.75" customHeight="1">
      <c r="A128" s="282"/>
      <c r="B128" s="282"/>
      <c r="C128" s="282"/>
      <c r="D128" s="298">
        <f>IF(ISNUMBER(SEARCH(ZAKL_DATA!$B$14,E128)),MAX($D$2:D127)+1,0)</f>
        <v>126</v>
      </c>
      <c r="E128" s="312" t="s">
        <v>1389</v>
      </c>
      <c r="F128" s="313">
        <v>2810</v>
      </c>
      <c r="G128" s="314"/>
      <c r="H128" s="315" t="str">
        <f>IFERROR(VLOOKUP(ROWS($H$3:H128),$D$3:$E$204,2,0),"")</f>
        <v>VYSOKÉ MÝTO</v>
      </c>
      <c r="I128" s="282"/>
      <c r="J128" s="317" t="s">
        <v>1390</v>
      </c>
      <c r="K128" s="304" t="s">
        <v>1391</v>
      </c>
      <c r="M128" s="305">
        <f>IF(ISNUMBER(SEARCH(ZAKL_DATA!$B$29,N128)),MAX($M$2:M127)+1,0)</f>
        <v>126</v>
      </c>
      <c r="N128" s="306" t="s">
        <v>1392</v>
      </c>
      <c r="O128" s="323" t="s">
        <v>1393</v>
      </c>
      <c r="P128" s="308"/>
      <c r="Q128" s="309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306" t="s">
        <v>1392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306" t="s">
        <v>1392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306" t="s">
        <v>1392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282"/>
      <c r="B129" s="282"/>
      <c r="C129" s="282"/>
      <c r="D129" s="298">
        <f>IF(ISNUMBER(SEARCH(ZAKL_DATA!$B$14,E129)),MAX($D$2:D128)+1,0)</f>
        <v>127</v>
      </c>
      <c r="E129" s="312" t="s">
        <v>1394</v>
      </c>
      <c r="F129" s="313">
        <v>2811</v>
      </c>
      <c r="G129" s="314"/>
      <c r="H129" s="315" t="str">
        <f>IFERROR(VLOOKUP(ROWS($H$3:H129),$D$3:$E$204,2,0),"")</f>
        <v>ŽAMBERK</v>
      </c>
      <c r="I129" s="282"/>
      <c r="J129" s="317" t="s">
        <v>1395</v>
      </c>
      <c r="K129" s="304" t="s">
        <v>1396</v>
      </c>
      <c r="M129" s="305">
        <f>IF(ISNUMBER(SEARCH(ZAKL_DATA!$B$29,N129)),MAX($M$2:M128)+1,0)</f>
        <v>127</v>
      </c>
      <c r="N129" s="306" t="s">
        <v>1397</v>
      </c>
      <c r="O129" s="323" t="s">
        <v>1398</v>
      </c>
      <c r="P129" s="308"/>
      <c r="Q129" s="309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306" t="s">
        <v>1397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306" t="s">
        <v>1397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306" t="s">
        <v>1397</v>
      </c>
      <c r="Z129" t="str">
        <f>IFERROR(VLOOKUP(ROWS($Z$3:Z129),$X$3:$Y$992,2,0),"")</f>
        <v>Pěstování vinných hroznů</v>
      </c>
    </row>
    <row r="130" spans="1:26" ht="12.75" customHeight="1">
      <c r="A130" s="282"/>
      <c r="B130" s="282"/>
      <c r="C130" s="282"/>
      <c r="D130" s="298">
        <f>IF(ISNUMBER(SEARCH(ZAKL_DATA!$B$14,E130)),MAX($D$2:D129)+1,0)</f>
        <v>128</v>
      </c>
      <c r="E130" s="312" t="s">
        <v>1399</v>
      </c>
      <c r="F130" s="313">
        <v>2901</v>
      </c>
      <c r="G130" s="314"/>
      <c r="H130" s="315" t="str">
        <f>IFERROR(VLOOKUP(ROWS($H$3:H130),$D$3:$E$204,2,0),"")</f>
        <v>JIHLAVA</v>
      </c>
      <c r="I130" s="282"/>
      <c r="J130" s="317" t="s">
        <v>1400</v>
      </c>
      <c r="K130" s="304" t="s">
        <v>1401</v>
      </c>
      <c r="M130" s="305">
        <f>IF(ISNUMBER(SEARCH(ZAKL_DATA!$B$29,N130)),MAX($M$2:M129)+1,0)</f>
        <v>128</v>
      </c>
      <c r="N130" s="306" t="s">
        <v>1402</v>
      </c>
      <c r="O130" s="323" t="s">
        <v>1403</v>
      </c>
      <c r="P130" s="308"/>
      <c r="Q130" s="309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306" t="s">
        <v>1402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306" t="s">
        <v>1402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306" t="s">
        <v>1402</v>
      </c>
      <c r="Z130" t="str">
        <f>IFERROR(VLOOKUP(ROWS($Z$3:Z130),$X$3:$Y$992,2,0),"")</f>
        <v>Pěstování tropického a subtropického ovoce</v>
      </c>
    </row>
    <row r="131" spans="1:26" ht="12.75" customHeight="1">
      <c r="A131" s="282"/>
      <c r="B131" s="282"/>
      <c r="C131" s="282"/>
      <c r="D131" s="298">
        <f>IF(ISNUMBER(SEARCH(ZAKL_DATA!$B$14,E131)),MAX($D$2:D130)+1,0)</f>
        <v>129</v>
      </c>
      <c r="E131" s="312" t="s">
        <v>1404</v>
      </c>
      <c r="F131" s="313">
        <v>2902</v>
      </c>
      <c r="G131" s="314"/>
      <c r="H131" s="315" t="str">
        <f>IFERROR(VLOOKUP(ROWS($H$3:H131),$D$3:$E$204,2,0),"")</f>
        <v>BYSTŘICE NAD PERN.</v>
      </c>
      <c r="I131" s="282"/>
      <c r="J131" s="317" t="s">
        <v>1405</v>
      </c>
      <c r="K131" s="304" t="s">
        <v>1406</v>
      </c>
      <c r="M131" s="305">
        <f>IF(ISNUMBER(SEARCH(ZAKL_DATA!$B$29,N131)),MAX($M$2:M130)+1,0)</f>
        <v>129</v>
      </c>
      <c r="N131" s="306" t="s">
        <v>1407</v>
      </c>
      <c r="O131" s="323" t="s">
        <v>1408</v>
      </c>
      <c r="P131" s="308"/>
      <c r="Q131" s="309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306" t="s">
        <v>1407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306" t="s">
        <v>1407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306" t="s">
        <v>1407</v>
      </c>
      <c r="Z131" t="str">
        <f>IFERROR(VLOOKUP(ROWS($Z$3:Z131),$X$3:$Y$992,2,0),"")</f>
        <v>Pěstování citrusových plodů</v>
      </c>
    </row>
    <row r="132" spans="1:26" ht="12.75" customHeight="1">
      <c r="A132" s="282"/>
      <c r="B132" s="282"/>
      <c r="C132" s="282"/>
      <c r="D132" s="298">
        <f>IF(ISNUMBER(SEARCH(ZAKL_DATA!$B$14,E132)),MAX($D$2:D131)+1,0)</f>
        <v>130</v>
      </c>
      <c r="E132" s="312" t="s">
        <v>1409</v>
      </c>
      <c r="F132" s="313">
        <v>2903</v>
      </c>
      <c r="G132" s="314"/>
      <c r="H132" s="315" t="str">
        <f>IFERROR(VLOOKUP(ROWS($H$3:H132),$D$3:$E$204,2,0),"")</f>
        <v>HAVLÍČKŮV BROD</v>
      </c>
      <c r="I132" s="282"/>
      <c r="J132" s="317" t="s">
        <v>1410</v>
      </c>
      <c r="K132" s="304" t="s">
        <v>1411</v>
      </c>
      <c r="M132" s="305">
        <f>IF(ISNUMBER(SEARCH(ZAKL_DATA!$B$29,N132)),MAX($M$2:M131)+1,0)</f>
        <v>130</v>
      </c>
      <c r="N132" s="306" t="s">
        <v>1412</v>
      </c>
      <c r="O132" s="323" t="s">
        <v>1413</v>
      </c>
      <c r="P132" s="308"/>
      <c r="Q132" s="309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306" t="s">
        <v>1412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306" t="s">
        <v>1412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306" t="s">
        <v>1412</v>
      </c>
      <c r="Z132" t="str">
        <f>IFERROR(VLOOKUP(ROWS($Z$3:Z132),$X$3:$Y$992,2,0),"")</f>
        <v>Pěstování jádrového a peckového ovoce</v>
      </c>
    </row>
    <row r="133" spans="1:26" ht="12.75" customHeight="1">
      <c r="A133" s="282"/>
      <c r="B133" s="282"/>
      <c r="C133" s="282"/>
      <c r="D133" s="298">
        <f>IF(ISNUMBER(SEARCH(ZAKL_DATA!$B$14,E133)),MAX($D$2:D132)+1,0)</f>
        <v>131</v>
      </c>
      <c r="E133" s="312" t="s">
        <v>1414</v>
      </c>
      <c r="F133" s="313">
        <v>2904</v>
      </c>
      <c r="G133" s="314"/>
      <c r="H133" s="315" t="str">
        <f>IFERROR(VLOOKUP(ROWS($H$3:H133),$D$3:$E$204,2,0),"")</f>
        <v>HUMPOLEC</v>
      </c>
      <c r="I133" s="282"/>
      <c r="J133" s="321" t="s">
        <v>1415</v>
      </c>
      <c r="K133" s="322" t="s">
        <v>1416</v>
      </c>
      <c r="M133" s="305">
        <f>IF(ISNUMBER(SEARCH(ZAKL_DATA!$B$29,N133)),MAX($M$2:M132)+1,0)</f>
        <v>131</v>
      </c>
      <c r="N133" s="306" t="s">
        <v>1417</v>
      </c>
      <c r="O133" s="323" t="s">
        <v>1418</v>
      </c>
      <c r="P133" s="308"/>
      <c r="Q133" s="309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306" t="s">
        <v>1417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306" t="s">
        <v>1417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306" t="s">
        <v>1417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282"/>
      <c r="B134" s="282"/>
      <c r="C134" s="282"/>
      <c r="D134" s="298">
        <f>IF(ISNUMBER(SEARCH(ZAKL_DATA!$B$14,E134)),MAX($D$2:D133)+1,0)</f>
        <v>132</v>
      </c>
      <c r="E134" s="312" t="s">
        <v>1419</v>
      </c>
      <c r="F134" s="313">
        <v>2905</v>
      </c>
      <c r="G134" s="314"/>
      <c r="H134" s="315" t="str">
        <f>IFERROR(VLOOKUP(ROWS($H$3:H134),$D$3:$E$204,2,0),"")</f>
        <v>CHOTĚBOŘ</v>
      </c>
      <c r="I134" s="282"/>
      <c r="J134" s="317" t="s">
        <v>1420</v>
      </c>
      <c r="K134" s="304" t="s">
        <v>1421</v>
      </c>
      <c r="M134" s="305">
        <f>IF(ISNUMBER(SEARCH(ZAKL_DATA!$B$29,N134)),MAX($M$2:M133)+1,0)</f>
        <v>132</v>
      </c>
      <c r="N134" s="306" t="s">
        <v>1422</v>
      </c>
      <c r="O134" s="323" t="s">
        <v>1423</v>
      </c>
      <c r="P134" s="308"/>
      <c r="Q134" s="309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306" t="s">
        <v>1422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306" t="s">
        <v>1422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306" t="s">
        <v>1422</v>
      </c>
      <c r="Z134" t="str">
        <f>IFERROR(VLOOKUP(ROWS($Z$3:Z134),$X$3:$Y$992,2,0),"")</f>
        <v>Pěstování olejnatých plodů</v>
      </c>
    </row>
    <row r="135" spans="1:26" ht="12.75" customHeight="1">
      <c r="A135" s="282"/>
      <c r="B135" s="282"/>
      <c r="C135" s="282"/>
      <c r="D135" s="298">
        <f>IF(ISNUMBER(SEARCH(ZAKL_DATA!$B$14,E135)),MAX($D$2:D134)+1,0)</f>
        <v>133</v>
      </c>
      <c r="E135" s="312" t="s">
        <v>1424</v>
      </c>
      <c r="F135" s="313">
        <v>2906</v>
      </c>
      <c r="G135" s="314"/>
      <c r="H135" s="315" t="str">
        <f>IFERROR(VLOOKUP(ROWS($H$3:H135),$D$3:$E$204,2,0),"")</f>
        <v>LEDEČ NAD SÁZAVOU</v>
      </c>
      <c r="I135" s="282"/>
      <c r="J135" s="316" t="s">
        <v>1425</v>
      </c>
      <c r="K135" s="304" t="s">
        <v>1426</v>
      </c>
      <c r="M135" s="305">
        <f>IF(ISNUMBER(SEARCH(ZAKL_DATA!$B$29,N135)),MAX($M$2:M134)+1,0)</f>
        <v>133</v>
      </c>
      <c r="N135" s="306" t="s">
        <v>1427</v>
      </c>
      <c r="O135" s="323" t="s">
        <v>1428</v>
      </c>
      <c r="P135" s="308"/>
      <c r="Q135" s="309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306" t="s">
        <v>1427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306" t="s">
        <v>1427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306" t="s">
        <v>1427</v>
      </c>
      <c r="Z135" t="str">
        <f>IFERROR(VLOOKUP(ROWS($Z$3:Z135),$X$3:$Y$992,2,0),"")</f>
        <v>Pěstování rostlin pro výrobu nápojů</v>
      </c>
    </row>
    <row r="136" spans="1:26" ht="12.75" customHeight="1">
      <c r="A136" s="282"/>
      <c r="B136" s="282"/>
      <c r="C136" s="282"/>
      <c r="D136" s="298">
        <f>IF(ISNUMBER(SEARCH(ZAKL_DATA!$B$14,E136)),MAX($D$2:D135)+1,0)</f>
        <v>134</v>
      </c>
      <c r="E136" s="312" t="s">
        <v>1429</v>
      </c>
      <c r="F136" s="313">
        <v>2907</v>
      </c>
      <c r="G136" s="314"/>
      <c r="H136" s="315" t="str">
        <f>IFERROR(VLOOKUP(ROWS($H$3:H136),$D$3:$E$204,2,0),"")</f>
        <v>MORAVSKÉ BUDĚJOVICE</v>
      </c>
      <c r="I136" s="282"/>
      <c r="J136" s="317" t="s">
        <v>1430</v>
      </c>
      <c r="K136" s="304" t="s">
        <v>1431</v>
      </c>
      <c r="M136" s="305">
        <f>IF(ISNUMBER(SEARCH(ZAKL_DATA!$B$29,N136)),MAX($M$2:M135)+1,0)</f>
        <v>134</v>
      </c>
      <c r="N136" s="306" t="s">
        <v>1432</v>
      </c>
      <c r="O136" s="323" t="s">
        <v>1433</v>
      </c>
      <c r="P136" s="308"/>
      <c r="Q136" s="309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306" t="s">
        <v>1432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306" t="s">
        <v>1432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306" t="s">
        <v>1432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282"/>
      <c r="B137" s="282"/>
      <c r="C137" s="282"/>
      <c r="D137" s="298">
        <f>IF(ISNUMBER(SEARCH(ZAKL_DATA!$B$14,E137)),MAX($D$2:D136)+1,0)</f>
        <v>135</v>
      </c>
      <c r="E137" s="312" t="s">
        <v>1434</v>
      </c>
      <c r="F137" s="313">
        <v>2908</v>
      </c>
      <c r="G137" s="314"/>
      <c r="H137" s="315" t="str">
        <f>IFERROR(VLOOKUP(ROWS($H$3:H137),$D$3:$E$204,2,0),"")</f>
        <v>NÁMĚŠŤ NAD OSLAVOU</v>
      </c>
      <c r="I137" s="282"/>
      <c r="J137" s="317" t="s">
        <v>1435</v>
      </c>
      <c r="K137" s="304" t="s">
        <v>1436</v>
      </c>
      <c r="M137" s="305">
        <f>IF(ISNUMBER(SEARCH(ZAKL_DATA!$B$29,N137)),MAX($M$2:M136)+1,0)</f>
        <v>135</v>
      </c>
      <c r="N137" s="306" t="s">
        <v>1437</v>
      </c>
      <c r="O137" s="323" t="s">
        <v>1438</v>
      </c>
      <c r="P137" s="308"/>
      <c r="Q137" s="309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306" t="s">
        <v>1437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306" t="s">
        <v>1437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306" t="s">
        <v>1437</v>
      </c>
      <c r="Z137" t="str">
        <f>IFERROR(VLOOKUP(ROWS($Z$3:Z137),$X$3:$Y$992,2,0),"")</f>
        <v>Pěstování ostatních trvalých plodin</v>
      </c>
    </row>
    <row r="138" spans="1:26" ht="12.75" customHeight="1">
      <c r="A138" s="282"/>
      <c r="B138" s="282"/>
      <c r="C138" s="282"/>
      <c r="D138" s="298">
        <f>IF(ISNUMBER(SEARCH(ZAKL_DATA!$B$14,E138)),MAX($D$2:D137)+1,0)</f>
        <v>136</v>
      </c>
      <c r="E138" s="312" t="s">
        <v>1439</v>
      </c>
      <c r="F138" s="313">
        <v>2909</v>
      </c>
      <c r="G138" s="314"/>
      <c r="H138" s="315" t="str">
        <f>IFERROR(VLOOKUP(ROWS($H$3:H138),$D$3:$E$204,2,0),"")</f>
        <v>PACOV</v>
      </c>
      <c r="I138" s="282"/>
      <c r="J138" s="317" t="s">
        <v>1440</v>
      </c>
      <c r="K138" s="304" t="s">
        <v>1441</v>
      </c>
      <c r="M138" s="305">
        <f>IF(ISNUMBER(SEARCH(ZAKL_DATA!$B$29,N138)),MAX($M$2:M137)+1,0)</f>
        <v>136</v>
      </c>
      <c r="N138" s="306" t="s">
        <v>1442</v>
      </c>
      <c r="O138" s="323" t="s">
        <v>1443</v>
      </c>
      <c r="P138" s="308"/>
      <c r="Q138" s="309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306" t="s">
        <v>1442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306" t="s">
        <v>1442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306" t="s">
        <v>1442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282"/>
      <c r="B139" s="282"/>
      <c r="C139" s="282"/>
      <c r="D139" s="298">
        <f>IF(ISNUMBER(SEARCH(ZAKL_DATA!$B$14,E139)),MAX($D$2:D138)+1,0)</f>
        <v>137</v>
      </c>
      <c r="E139" s="312" t="s">
        <v>1444</v>
      </c>
      <c r="F139" s="313">
        <v>2910</v>
      </c>
      <c r="G139" s="314"/>
      <c r="H139" s="315" t="str">
        <f>IFERROR(VLOOKUP(ROWS($H$3:H139),$D$3:$E$204,2,0),"")</f>
        <v>PELHŘIMOV</v>
      </c>
      <c r="I139" s="282"/>
      <c r="J139" s="317" t="s">
        <v>1445</v>
      </c>
      <c r="K139" s="304" t="s">
        <v>1446</v>
      </c>
      <c r="M139" s="305">
        <f>IF(ISNUMBER(SEARCH(ZAKL_DATA!$B$29,N139)),MAX($M$2:M138)+1,0)</f>
        <v>137</v>
      </c>
      <c r="N139" s="306" t="s">
        <v>1447</v>
      </c>
      <c r="O139" s="323" t="s">
        <v>1448</v>
      </c>
      <c r="P139" s="308"/>
      <c r="Q139" s="309" t="str">
        <f>IFERROR(VLOOKUP(ROWS($Q$3:Q139),$M$3:$N$992,2,0),"")</f>
        <v>Tkaní textilií</v>
      </c>
      <c r="R139">
        <f>IF(ISNUMBER(SEARCH('1Př1'!$A$32,N139)),MAX($M$2:M138)+1,0)</f>
        <v>137</v>
      </c>
      <c r="S139" s="306" t="s">
        <v>1447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306" t="s">
        <v>1447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306" t="s">
        <v>1447</v>
      </c>
      <c r="Z139" t="str">
        <f>IFERROR(VLOOKUP(ROWS($Z$3:Z139),$X$3:$Y$992,2,0),"")</f>
        <v>Tkaní textilií</v>
      </c>
    </row>
    <row r="140" spans="1:26" ht="12.75" customHeight="1">
      <c r="A140" s="282"/>
      <c r="B140" s="282"/>
      <c r="C140" s="282"/>
      <c r="D140" s="298">
        <f>IF(ISNUMBER(SEARCH(ZAKL_DATA!$B$14,E140)),MAX($D$2:D139)+1,0)</f>
        <v>138</v>
      </c>
      <c r="E140" s="312" t="s">
        <v>1449</v>
      </c>
      <c r="F140" s="313">
        <v>2911</v>
      </c>
      <c r="G140" s="314"/>
      <c r="H140" s="315" t="str">
        <f>IFERROR(VLOOKUP(ROWS($H$3:H140),$D$3:$E$204,2,0),"")</f>
        <v>TELČ</v>
      </c>
      <c r="I140" s="282"/>
      <c r="J140" s="317" t="s">
        <v>1450</v>
      </c>
      <c r="K140" s="304" t="s">
        <v>1451</v>
      </c>
      <c r="M140" s="305">
        <f>IF(ISNUMBER(SEARCH(ZAKL_DATA!$B$29,N140)),MAX($M$2:M139)+1,0)</f>
        <v>138</v>
      </c>
      <c r="N140" s="306" t="s">
        <v>1452</v>
      </c>
      <c r="O140" s="323" t="s">
        <v>1453</v>
      </c>
      <c r="P140" s="308"/>
      <c r="Q140" s="309" t="str">
        <f>IFERROR(VLOOKUP(ROWS($Q$3:Q140),$M$3:$N$992,2,0),"")</f>
        <v>Konečná úprava textilií</v>
      </c>
      <c r="R140">
        <f>IF(ISNUMBER(SEARCH('1Př1'!$A$32,N140)),MAX($M$2:M139)+1,0)</f>
        <v>138</v>
      </c>
      <c r="S140" s="306" t="s">
        <v>1452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306" t="s">
        <v>1452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306" t="s">
        <v>1452</v>
      </c>
      <c r="Z140" t="str">
        <f>IFERROR(VLOOKUP(ROWS($Z$3:Z140),$X$3:$Y$992,2,0),"")</f>
        <v>Konečná úprava textilií</v>
      </c>
    </row>
    <row r="141" spans="1:26" ht="12.75" customHeight="1">
      <c r="A141" s="282"/>
      <c r="B141" s="282"/>
      <c r="C141" s="282"/>
      <c r="D141" s="298">
        <f>IF(ISNUMBER(SEARCH(ZAKL_DATA!$B$14,E141)),MAX($D$2:D140)+1,0)</f>
        <v>139</v>
      </c>
      <c r="E141" s="312" t="s">
        <v>1454</v>
      </c>
      <c r="F141" s="313">
        <v>2912</v>
      </c>
      <c r="G141" s="314"/>
      <c r="H141" s="315" t="str">
        <f>IFERROR(VLOOKUP(ROWS($H$3:H141),$D$3:$E$204,2,0),"")</f>
        <v>TŘEBÍČ</v>
      </c>
      <c r="I141" s="282"/>
      <c r="J141" s="317" t="s">
        <v>1455</v>
      </c>
      <c r="K141" s="304" t="s">
        <v>1456</v>
      </c>
      <c r="M141" s="305">
        <f>IF(ISNUMBER(SEARCH(ZAKL_DATA!$B$29,N141)),MAX($M$2:M140)+1,0)</f>
        <v>139</v>
      </c>
      <c r="N141" s="306" t="s">
        <v>1457</v>
      </c>
      <c r="O141" s="323" t="s">
        <v>1458</v>
      </c>
      <c r="P141" s="308"/>
      <c r="Q141" s="309" t="str">
        <f>IFERROR(VLOOKUP(ROWS($Q$3:Q141),$M$3:$N$992,2,0),"")</f>
        <v>Výroba ostatních textilií</v>
      </c>
      <c r="R141">
        <f>IF(ISNUMBER(SEARCH('1Př1'!$A$32,N141)),MAX($M$2:M140)+1,0)</f>
        <v>139</v>
      </c>
      <c r="S141" s="306" t="s">
        <v>1457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306" t="s">
        <v>1457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306" t="s">
        <v>1457</v>
      </c>
      <c r="Z141" t="str">
        <f>IFERROR(VLOOKUP(ROWS($Z$3:Z141),$X$3:$Y$992,2,0),"")</f>
        <v>Výroba ostatních textilií</v>
      </c>
    </row>
    <row r="142" spans="1:26" ht="12.75" customHeight="1">
      <c r="A142" s="282"/>
      <c r="B142" s="282"/>
      <c r="C142" s="282"/>
      <c r="D142" s="298">
        <f>IF(ISNUMBER(SEARCH(ZAKL_DATA!$B$14,E142)),MAX($D$2:D141)+1,0)</f>
        <v>140</v>
      </c>
      <c r="E142" s="312" t="s">
        <v>1459</v>
      </c>
      <c r="F142" s="313">
        <v>2913</v>
      </c>
      <c r="G142" s="314"/>
      <c r="H142" s="315" t="str">
        <f>IFERROR(VLOOKUP(ROWS($H$3:H142),$D$3:$E$204,2,0),"")</f>
        <v>VELKÉ MEZIŘÍČÍ</v>
      </c>
      <c r="I142" s="282"/>
      <c r="J142" s="317" t="s">
        <v>1460</v>
      </c>
      <c r="K142" s="304" t="s">
        <v>1461</v>
      </c>
      <c r="M142" s="305">
        <f>IF(ISNUMBER(SEARCH(ZAKL_DATA!$B$29,N142)),MAX($M$2:M141)+1,0)</f>
        <v>140</v>
      </c>
      <c r="N142" s="306" t="s">
        <v>1462</v>
      </c>
      <c r="O142" s="323" t="s">
        <v>850</v>
      </c>
      <c r="P142" s="308"/>
      <c r="Q142" s="309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306" t="s">
        <v>1462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306" t="s">
        <v>1462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306" t="s">
        <v>1462</v>
      </c>
      <c r="Z142" t="str">
        <f>IFERROR(VLOOKUP(ROWS($Z$3:Z142),$X$3:$Y$992,2,0),"")</f>
        <v>Pěstování cukrové třtiny</v>
      </c>
    </row>
    <row r="143" spans="1:26" ht="12.75" customHeight="1">
      <c r="A143" s="282"/>
      <c r="B143" s="282"/>
      <c r="C143" s="282"/>
      <c r="D143" s="298">
        <f>IF(ISNUMBER(SEARCH(ZAKL_DATA!$B$14,E143)),MAX($D$2:D142)+1,0)</f>
        <v>141</v>
      </c>
      <c r="E143" s="312" t="s">
        <v>1463</v>
      </c>
      <c r="F143" s="313">
        <v>2914</v>
      </c>
      <c r="G143" s="314"/>
      <c r="H143" s="315" t="str">
        <f>IFERROR(VLOOKUP(ROWS($H$3:H143),$D$3:$E$204,2,0),"")</f>
        <v>ŽĎÁR NAD SÁZAVOU</v>
      </c>
      <c r="I143" s="282"/>
      <c r="J143" s="317" t="s">
        <v>1464</v>
      </c>
      <c r="K143" s="304" t="s">
        <v>1465</v>
      </c>
      <c r="M143" s="305">
        <f>IF(ISNUMBER(SEARCH(ZAKL_DATA!$B$29,N143)),MAX($M$2:M142)+1,0)</f>
        <v>141</v>
      </c>
      <c r="N143" s="306" t="s">
        <v>1466</v>
      </c>
      <c r="O143" s="323" t="s">
        <v>1467</v>
      </c>
      <c r="P143" s="308"/>
      <c r="Q143" s="309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306" t="s">
        <v>1466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306" t="s">
        <v>1466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306" t="s">
        <v>1466</v>
      </c>
      <c r="Z143" t="str">
        <f>IFERROR(VLOOKUP(ROWS($Z$3:Z143),$X$3:$Y$992,2,0),"")</f>
        <v>Výroba oděvů, kromě kožešinových výrobků</v>
      </c>
    </row>
    <row r="144" spans="1:26" ht="12.75" customHeight="1">
      <c r="A144" s="282"/>
      <c r="B144" s="282"/>
      <c r="C144" s="282"/>
      <c r="D144" s="298">
        <f>IF(ISNUMBER(SEARCH(ZAKL_DATA!$B$14,E144)),MAX($D$2:D143)+1,0)</f>
        <v>142</v>
      </c>
      <c r="E144" s="312" t="s">
        <v>1468</v>
      </c>
      <c r="F144" s="313">
        <v>3001</v>
      </c>
      <c r="G144" s="314"/>
      <c r="H144" s="315" t="str">
        <f>IFERROR(VLOOKUP(ROWS($H$3:H144),$D$3:$E$204,2,0),"")</f>
        <v>BRNO I</v>
      </c>
      <c r="I144" s="282"/>
      <c r="J144" s="317" t="s">
        <v>1469</v>
      </c>
      <c r="K144" s="304" t="s">
        <v>1470</v>
      </c>
      <c r="M144" s="305">
        <f>IF(ISNUMBER(SEARCH(ZAKL_DATA!$B$29,N144)),MAX($M$2:M143)+1,0)</f>
        <v>142</v>
      </c>
      <c r="N144" s="306" t="s">
        <v>1471</v>
      </c>
      <c r="O144" s="323" t="s">
        <v>1472</v>
      </c>
      <c r="P144" s="308"/>
      <c r="Q144" s="309" t="str">
        <f>IFERROR(VLOOKUP(ROWS($Q$3:Q144),$M$3:$N$992,2,0),"")</f>
        <v>Chov mléčného skotu</v>
      </c>
      <c r="R144">
        <f>IF(ISNUMBER(SEARCH('1Př1'!$A$32,N144)),MAX($M$2:M143)+1,0)</f>
        <v>142</v>
      </c>
      <c r="S144" s="306" t="s">
        <v>1471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306" t="s">
        <v>1471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306" t="s">
        <v>1471</v>
      </c>
      <c r="Z144" t="str">
        <f>IFERROR(VLOOKUP(ROWS($Z$3:Z144),$X$3:$Y$992,2,0),"")</f>
        <v>Chov mléčného skotu</v>
      </c>
    </row>
    <row r="145" spans="1:26" ht="12.75" customHeight="1">
      <c r="A145" s="282"/>
      <c r="B145" s="282"/>
      <c r="C145" s="282"/>
      <c r="D145" s="298">
        <f>IF(ISNUMBER(SEARCH(ZAKL_DATA!$B$14,E145)),MAX($D$2:D144)+1,0)</f>
        <v>143</v>
      </c>
      <c r="E145" s="312" t="s">
        <v>1473</v>
      </c>
      <c r="F145" s="313">
        <v>3002</v>
      </c>
      <c r="G145" s="314"/>
      <c r="H145" s="315" t="str">
        <f>IFERROR(VLOOKUP(ROWS($H$3:H145),$D$3:$E$204,2,0),"")</f>
        <v>BRNO II</v>
      </c>
      <c r="I145" s="282"/>
      <c r="J145" s="317" t="s">
        <v>1474</v>
      </c>
      <c r="K145" s="304" t="s">
        <v>1475</v>
      </c>
      <c r="M145" s="305">
        <f>IF(ISNUMBER(SEARCH(ZAKL_DATA!$B$29,N145)),MAX($M$2:M144)+1,0)</f>
        <v>143</v>
      </c>
      <c r="N145" s="306" t="s">
        <v>1476</v>
      </c>
      <c r="O145" s="323" t="s">
        <v>1477</v>
      </c>
      <c r="P145" s="308"/>
      <c r="Q145" s="309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306" t="s">
        <v>1476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306" t="s">
        <v>1476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306" t="s">
        <v>1476</v>
      </c>
      <c r="Z145" t="str">
        <f>IFERROR(VLOOKUP(ROWS($Z$3:Z145),$X$3:$Y$992,2,0),"")</f>
        <v>Výroba kožešinových výrobků</v>
      </c>
    </row>
    <row r="146" spans="1:26" ht="12.75" customHeight="1">
      <c r="A146" s="282"/>
      <c r="B146" s="282"/>
      <c r="C146" s="282"/>
      <c r="D146" s="298">
        <f>IF(ISNUMBER(SEARCH(ZAKL_DATA!$B$14,E146)),MAX($D$2:D145)+1,0)</f>
        <v>144</v>
      </c>
      <c r="E146" s="312" t="s">
        <v>1478</v>
      </c>
      <c r="F146" s="313">
        <v>3003</v>
      </c>
      <c r="G146" s="314"/>
      <c r="H146" s="315" t="str">
        <f>IFERROR(VLOOKUP(ROWS($H$3:H146),$D$3:$E$204,2,0),"")</f>
        <v>BRNO III</v>
      </c>
      <c r="I146" s="282"/>
      <c r="J146" s="317" t="s">
        <v>1479</v>
      </c>
      <c r="K146" s="304" t="s">
        <v>1480</v>
      </c>
      <c r="M146" s="305">
        <f>IF(ISNUMBER(SEARCH(ZAKL_DATA!$B$29,N146)),MAX($M$2:M145)+1,0)</f>
        <v>144</v>
      </c>
      <c r="N146" s="306" t="s">
        <v>1481</v>
      </c>
      <c r="O146" s="323" t="s">
        <v>1482</v>
      </c>
      <c r="P146" s="308"/>
      <c r="Q146" s="309" t="str">
        <f>IFERROR(VLOOKUP(ROWS($Q$3:Q146),$M$3:$N$992,2,0),"")</f>
        <v>Chov jiného skotu</v>
      </c>
      <c r="R146">
        <f>IF(ISNUMBER(SEARCH('1Př1'!$A$32,N146)),MAX($M$2:M145)+1,0)</f>
        <v>144</v>
      </c>
      <c r="S146" s="306" t="s">
        <v>1481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306" t="s">
        <v>1481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306" t="s">
        <v>1481</v>
      </c>
      <c r="Z146" t="str">
        <f>IFERROR(VLOOKUP(ROWS($Z$3:Z146),$X$3:$Y$992,2,0),"")</f>
        <v>Chov jiného skotu</v>
      </c>
    </row>
    <row r="147" spans="1:26" ht="12.75" customHeight="1">
      <c r="A147" s="282"/>
      <c r="B147" s="282"/>
      <c r="C147" s="282"/>
      <c r="D147" s="298">
        <f>IF(ISNUMBER(SEARCH(ZAKL_DATA!$B$14,E147)),MAX($D$2:D146)+1,0)</f>
        <v>145</v>
      </c>
      <c r="E147" s="312" t="s">
        <v>1483</v>
      </c>
      <c r="F147" s="313">
        <v>3004</v>
      </c>
      <c r="G147" s="314"/>
      <c r="H147" s="315" t="str">
        <f>IFERROR(VLOOKUP(ROWS($H$3:H147),$D$3:$E$204,2,0),"")</f>
        <v>BRNO IV</v>
      </c>
      <c r="I147" s="282"/>
      <c r="J147" s="317" t="s">
        <v>1484</v>
      </c>
      <c r="K147" s="304" t="s">
        <v>1485</v>
      </c>
      <c r="M147" s="305">
        <f>IF(ISNUMBER(SEARCH(ZAKL_DATA!$B$29,N147)),MAX($M$2:M146)+1,0)</f>
        <v>145</v>
      </c>
      <c r="N147" s="306" t="s">
        <v>1486</v>
      </c>
      <c r="O147" s="307" t="s">
        <v>1487</v>
      </c>
      <c r="P147" s="308"/>
      <c r="Q147" s="309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306" t="s">
        <v>1486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306" t="s">
        <v>1486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306" t="s">
        <v>1486</v>
      </c>
      <c r="Z147" t="str">
        <f>IFERROR(VLOOKUP(ROWS($Z$3:Z147),$X$3:$Y$992,2,0),"")</f>
        <v>Výroba pletených a háčkovaných oděvů</v>
      </c>
    </row>
    <row r="148" spans="1:26" ht="12.75" customHeight="1">
      <c r="A148" s="282"/>
      <c r="B148" s="282"/>
      <c r="C148" s="282"/>
      <c r="D148" s="298">
        <f>IF(ISNUMBER(SEARCH(ZAKL_DATA!$B$14,E148)),MAX($D$2:D147)+1,0)</f>
        <v>146</v>
      </c>
      <c r="E148" s="312" t="s">
        <v>1488</v>
      </c>
      <c r="F148" s="313">
        <v>3005</v>
      </c>
      <c r="G148" s="314"/>
      <c r="H148" s="315" t="str">
        <f>IFERROR(VLOOKUP(ROWS($H$3:H148),$D$3:$E$204,2,0),"")</f>
        <v>BRNO VENKOV</v>
      </c>
      <c r="I148" s="282"/>
      <c r="J148" s="317" t="s">
        <v>1489</v>
      </c>
      <c r="K148" s="304" t="s">
        <v>1490</v>
      </c>
      <c r="M148" s="305">
        <f>IF(ISNUMBER(SEARCH(ZAKL_DATA!$B$29,N148)),MAX($M$2:M147)+1,0)</f>
        <v>146</v>
      </c>
      <c r="N148" s="306" t="s">
        <v>1491</v>
      </c>
      <c r="O148" s="323" t="s">
        <v>1492</v>
      </c>
      <c r="P148" s="308"/>
      <c r="Q148" s="309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306" t="s">
        <v>1491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306" t="s">
        <v>1491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306" t="s">
        <v>1491</v>
      </c>
      <c r="Z148" t="str">
        <f>IFERROR(VLOOKUP(ROWS($Z$3:Z148),$X$3:$Y$992,2,0),"")</f>
        <v>Chov koní a jiných koňovitých</v>
      </c>
    </row>
    <row r="149" spans="1:26" ht="12.75" customHeight="1">
      <c r="A149" s="282"/>
      <c r="B149" s="282"/>
      <c r="C149" s="282"/>
      <c r="D149" s="298">
        <f>IF(ISNUMBER(SEARCH(ZAKL_DATA!$B$14,E149)),MAX($D$2:D148)+1,0)</f>
        <v>147</v>
      </c>
      <c r="E149" s="312" t="s">
        <v>1493</v>
      </c>
      <c r="F149" s="313">
        <v>3006</v>
      </c>
      <c r="G149" s="314"/>
      <c r="H149" s="315" t="str">
        <f>IFERROR(VLOOKUP(ROWS($H$3:H149),$D$3:$E$204,2,0),"")</f>
        <v>BLANSKO</v>
      </c>
      <c r="I149" s="282"/>
      <c r="J149" s="317" t="s">
        <v>1494</v>
      </c>
      <c r="K149" s="304" t="s">
        <v>1495</v>
      </c>
      <c r="M149" s="305">
        <f>IF(ISNUMBER(SEARCH(ZAKL_DATA!$B$29,N149)),MAX($M$2:M148)+1,0)</f>
        <v>147</v>
      </c>
      <c r="N149" s="306" t="s">
        <v>1496</v>
      </c>
      <c r="O149" s="323" t="s">
        <v>1497</v>
      </c>
      <c r="P149" s="308"/>
      <c r="Q149" s="309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306" t="s">
        <v>1496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306" t="s">
        <v>1496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306" t="s">
        <v>1496</v>
      </c>
      <c r="Z149" t="str">
        <f>IFERROR(VLOOKUP(ROWS($Z$3:Z149),$X$3:$Y$992,2,0),"")</f>
        <v>Chov velbloudů a velbloudovitých</v>
      </c>
    </row>
    <row r="150" spans="1:26" ht="12.75" customHeight="1">
      <c r="A150" s="282"/>
      <c r="B150" s="282"/>
      <c r="C150" s="282"/>
      <c r="D150" s="298">
        <f>IF(ISNUMBER(SEARCH(ZAKL_DATA!$B$14,E150)),MAX($D$2:D149)+1,0)</f>
        <v>148</v>
      </c>
      <c r="E150" s="312" t="s">
        <v>1498</v>
      </c>
      <c r="F150" s="313">
        <v>3007</v>
      </c>
      <c r="G150" s="314"/>
      <c r="H150" s="315" t="str">
        <f>IFERROR(VLOOKUP(ROWS($H$3:H150),$D$3:$E$204,2,0),"")</f>
        <v>BOSKOVICE</v>
      </c>
      <c r="I150" s="282"/>
      <c r="J150" s="317" t="s">
        <v>1499</v>
      </c>
      <c r="K150" s="304" t="s">
        <v>1500</v>
      </c>
      <c r="M150" s="305">
        <f>IF(ISNUMBER(SEARCH(ZAKL_DATA!$B$29,N150)),MAX($M$2:M149)+1,0)</f>
        <v>148</v>
      </c>
      <c r="N150" s="306" t="s">
        <v>1501</v>
      </c>
      <c r="O150" s="323" t="s">
        <v>1502</v>
      </c>
      <c r="P150" s="308"/>
      <c r="Q150" s="309" t="str">
        <f>IFERROR(VLOOKUP(ROWS($Q$3:Q150),$M$3:$N$992,2,0),"")</f>
        <v>Chov ovcí a koz</v>
      </c>
      <c r="R150">
        <f>IF(ISNUMBER(SEARCH('1Př1'!$A$32,N150)),MAX($M$2:M149)+1,0)</f>
        <v>148</v>
      </c>
      <c r="S150" s="306" t="s">
        <v>1501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306" t="s">
        <v>1501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306" t="s">
        <v>1501</v>
      </c>
      <c r="Z150" t="str">
        <f>IFERROR(VLOOKUP(ROWS($Z$3:Z150),$X$3:$Y$992,2,0),"")</f>
        <v>Chov ovcí a koz</v>
      </c>
    </row>
    <row r="151" spans="1:26" ht="12.75" customHeight="1">
      <c r="A151" s="282"/>
      <c r="B151" s="282"/>
      <c r="C151" s="282"/>
      <c r="D151" s="298">
        <f>IF(ISNUMBER(SEARCH(ZAKL_DATA!$B$14,E151)),MAX($D$2:D150)+1,0)</f>
        <v>149</v>
      </c>
      <c r="E151" s="312" t="s">
        <v>1503</v>
      </c>
      <c r="F151" s="313">
        <v>3008</v>
      </c>
      <c r="G151" s="314"/>
      <c r="H151" s="315" t="str">
        <f>IFERROR(VLOOKUP(ROWS($H$3:H151),$D$3:$E$204,2,0),"")</f>
        <v>BŘECLAV</v>
      </c>
      <c r="I151" s="282"/>
      <c r="J151" s="317" t="s">
        <v>1504</v>
      </c>
      <c r="K151" s="304" t="s">
        <v>1505</v>
      </c>
      <c r="M151" s="305">
        <f>IF(ISNUMBER(SEARCH(ZAKL_DATA!$B$29,N151)),MAX($M$2:M150)+1,0)</f>
        <v>149</v>
      </c>
      <c r="N151" s="306" t="s">
        <v>1506</v>
      </c>
      <c r="O151" s="323" t="s">
        <v>1507</v>
      </c>
      <c r="P151" s="308"/>
      <c r="Q151" s="309" t="str">
        <f>IFERROR(VLOOKUP(ROWS($Q$3:Q151),$M$3:$N$992,2,0),"")</f>
        <v>Chov prasat</v>
      </c>
      <c r="R151">
        <f>IF(ISNUMBER(SEARCH('1Př1'!$A$32,N151)),MAX($M$2:M150)+1,0)</f>
        <v>149</v>
      </c>
      <c r="S151" s="306" t="s">
        <v>1506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306" t="s">
        <v>1506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306" t="s">
        <v>1506</v>
      </c>
      <c r="Z151" t="str">
        <f>IFERROR(VLOOKUP(ROWS($Z$3:Z151),$X$3:$Y$992,2,0),"")</f>
        <v>Chov prasat</v>
      </c>
    </row>
    <row r="152" spans="1:26" ht="12.75" customHeight="1">
      <c r="A152" s="282"/>
      <c r="B152" s="282"/>
      <c r="C152" s="282"/>
      <c r="D152" s="298">
        <f>IF(ISNUMBER(SEARCH(ZAKL_DATA!$B$14,E152)),MAX($D$2:D151)+1,0)</f>
        <v>150</v>
      </c>
      <c r="E152" s="312" t="s">
        <v>1508</v>
      </c>
      <c r="F152" s="313">
        <v>3009</v>
      </c>
      <c r="G152" s="314"/>
      <c r="H152" s="315" t="str">
        <f>IFERROR(VLOOKUP(ROWS($H$3:H152),$D$3:$E$204,2,0),"")</f>
        <v>BUČOVICE</v>
      </c>
      <c r="I152" s="282"/>
      <c r="J152" s="317" t="s">
        <v>1509</v>
      </c>
      <c r="K152" s="304" t="s">
        <v>1510</v>
      </c>
      <c r="M152" s="305">
        <f>IF(ISNUMBER(SEARCH(ZAKL_DATA!$B$29,N152)),MAX($M$2:M151)+1,0)</f>
        <v>150</v>
      </c>
      <c r="N152" s="306" t="s">
        <v>1511</v>
      </c>
      <c r="O152" s="323" t="s">
        <v>1512</v>
      </c>
      <c r="P152" s="308"/>
      <c r="Q152" s="309" t="str">
        <f>IFERROR(VLOOKUP(ROWS($Q$3:Q152),$M$3:$N$992,2,0),"")</f>
        <v>Chov drůbeže</v>
      </c>
      <c r="R152">
        <f>IF(ISNUMBER(SEARCH('1Př1'!$A$32,N152)),MAX($M$2:M151)+1,0)</f>
        <v>150</v>
      </c>
      <c r="S152" s="306" t="s">
        <v>1511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306" t="s">
        <v>1511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306" t="s">
        <v>1511</v>
      </c>
      <c r="Z152" t="str">
        <f>IFERROR(VLOOKUP(ROWS($Z$3:Z152),$X$3:$Y$992,2,0),"")</f>
        <v>Chov drůbeže</v>
      </c>
    </row>
    <row r="153" spans="1:26" ht="12.75" customHeight="1">
      <c r="A153" s="282"/>
      <c r="B153" s="282"/>
      <c r="C153" s="282"/>
      <c r="D153" s="298">
        <f>IF(ISNUMBER(SEARCH(ZAKL_DATA!$B$14,E153)),MAX($D$2:D152)+1,0)</f>
        <v>151</v>
      </c>
      <c r="E153" s="312" t="s">
        <v>1513</v>
      </c>
      <c r="F153" s="313">
        <v>3010</v>
      </c>
      <c r="G153" s="314"/>
      <c r="H153" s="315" t="str">
        <f>IFERROR(VLOOKUP(ROWS($H$3:H153),$D$3:$E$204,2,0),"")</f>
        <v>HODONÍN</v>
      </c>
      <c r="I153" s="282"/>
      <c r="J153" s="317" t="s">
        <v>1514</v>
      </c>
      <c r="K153" s="304" t="s">
        <v>1515</v>
      </c>
      <c r="M153" s="305">
        <f>IF(ISNUMBER(SEARCH(ZAKL_DATA!$B$29,N153)),MAX($M$2:M152)+1,0)</f>
        <v>151</v>
      </c>
      <c r="N153" s="306" t="s">
        <v>1516</v>
      </c>
      <c r="O153" s="323" t="s">
        <v>1517</v>
      </c>
      <c r="P153" s="308"/>
      <c r="Q153" s="309" t="str">
        <f>IFERROR(VLOOKUP(ROWS($Q$3:Q153),$M$3:$N$992,2,0),"")</f>
        <v>Chov ostatních zvířat</v>
      </c>
      <c r="R153">
        <f>IF(ISNUMBER(SEARCH('1Př1'!$A$32,N153)),MAX($M$2:M152)+1,0)</f>
        <v>151</v>
      </c>
      <c r="S153" s="306" t="s">
        <v>1516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306" t="s">
        <v>1516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306" t="s">
        <v>1516</v>
      </c>
      <c r="Z153" t="str">
        <f>IFERROR(VLOOKUP(ROWS($Z$3:Z153),$X$3:$Y$992,2,0),"")</f>
        <v>Chov ostatních zvířat</v>
      </c>
    </row>
    <row r="154" spans="1:26" ht="12.75" customHeight="1">
      <c r="A154" s="282"/>
      <c r="B154" s="282"/>
      <c r="C154" s="282"/>
      <c r="D154" s="298">
        <f>IF(ISNUMBER(SEARCH(ZAKL_DATA!$B$14,E154)),MAX($D$2:D153)+1,0)</f>
        <v>152</v>
      </c>
      <c r="E154" s="312" t="s">
        <v>1518</v>
      </c>
      <c r="F154" s="313">
        <v>3011</v>
      </c>
      <c r="G154" s="314"/>
      <c r="H154" s="315" t="str">
        <f>IFERROR(VLOOKUP(ROWS($H$3:H154),$D$3:$E$204,2,0),"")</f>
        <v>HUSTOPEČE</v>
      </c>
      <c r="I154" s="282"/>
      <c r="J154" s="317" t="s">
        <v>1519</v>
      </c>
      <c r="K154" s="304" t="s">
        <v>1520</v>
      </c>
      <c r="M154" s="305">
        <f>IF(ISNUMBER(SEARCH(ZAKL_DATA!$B$29,N154)),MAX($M$2:M153)+1,0)</f>
        <v>152</v>
      </c>
      <c r="N154" s="306" t="s">
        <v>1521</v>
      </c>
      <c r="O154" s="323" t="s">
        <v>1522</v>
      </c>
      <c r="P154" s="308"/>
      <c r="Q154" s="309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306" t="s">
        <v>1521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306" t="s">
        <v>1521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306" t="s">
        <v>1521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282"/>
      <c r="B155" s="282"/>
      <c r="C155" s="282"/>
      <c r="D155" s="298">
        <f>IF(ISNUMBER(SEARCH(ZAKL_DATA!$B$14,E155)),MAX($D$2:D154)+1,0)</f>
        <v>153</v>
      </c>
      <c r="E155" s="312" t="s">
        <v>1523</v>
      </c>
      <c r="F155" s="313">
        <v>3012</v>
      </c>
      <c r="G155" s="314"/>
      <c r="H155" s="315" t="str">
        <f>IFERROR(VLOOKUP(ROWS($H$3:H155),$D$3:$E$204,2,0),"")</f>
        <v>IVANČICE</v>
      </c>
      <c r="I155" s="282"/>
      <c r="J155" s="317" t="s">
        <v>1524</v>
      </c>
      <c r="K155" s="304" t="s">
        <v>1525</v>
      </c>
      <c r="M155" s="305">
        <f>IF(ISNUMBER(SEARCH(ZAKL_DATA!$B$29,N155)),MAX($M$2:M154)+1,0)</f>
        <v>153</v>
      </c>
      <c r="N155" s="306" t="s">
        <v>1526</v>
      </c>
      <c r="O155" s="323" t="s">
        <v>1527</v>
      </c>
      <c r="P155" s="308"/>
      <c r="Q155" s="309" t="str">
        <f>IFERROR(VLOOKUP(ROWS($Q$3:Q155),$M$3:$N$992,2,0),"")</f>
        <v>Výroba obuvi</v>
      </c>
      <c r="R155">
        <f>IF(ISNUMBER(SEARCH('1Př1'!$A$32,N155)),MAX($M$2:M154)+1,0)</f>
        <v>153</v>
      </c>
      <c r="S155" s="306" t="s">
        <v>1526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306" t="s">
        <v>1526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306" t="s">
        <v>1526</v>
      </c>
      <c r="Z155" t="str">
        <f>IFERROR(VLOOKUP(ROWS($Z$3:Z155),$X$3:$Y$992,2,0),"")</f>
        <v>Výroba obuvi</v>
      </c>
    </row>
    <row r="156" spans="1:26" ht="12.75" customHeight="1">
      <c r="A156" s="282"/>
      <c r="B156" s="282"/>
      <c r="C156" s="282"/>
      <c r="D156" s="298">
        <f>IF(ISNUMBER(SEARCH(ZAKL_DATA!$B$14,E156)),MAX($D$2:D155)+1,0)</f>
        <v>154</v>
      </c>
      <c r="E156" s="312" t="s">
        <v>1528</v>
      </c>
      <c r="F156" s="313">
        <v>3013</v>
      </c>
      <c r="G156" s="314"/>
      <c r="H156" s="315" t="str">
        <f>IFERROR(VLOOKUP(ROWS($H$3:H156),$D$3:$E$204,2,0),"")</f>
        <v>KYJOV</v>
      </c>
      <c r="I156" s="282"/>
      <c r="J156" s="317" t="s">
        <v>1529</v>
      </c>
      <c r="K156" s="304" t="s">
        <v>1530</v>
      </c>
      <c r="M156" s="305">
        <f>IF(ISNUMBER(SEARCH(ZAKL_DATA!$B$29,N156)),MAX($M$2:M155)+1,0)</f>
        <v>154</v>
      </c>
      <c r="N156" s="306" t="s">
        <v>1531</v>
      </c>
      <c r="O156" s="323" t="s">
        <v>1532</v>
      </c>
      <c r="P156" s="308"/>
      <c r="Q156" s="309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306" t="s">
        <v>1531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306" t="s">
        <v>1531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306" t="s">
        <v>1531</v>
      </c>
      <c r="Z156" t="str">
        <f>IFERROR(VLOOKUP(ROWS($Z$3:Z156),$X$3:$Y$992,2,0),"")</f>
        <v>Výroba pilařská a impregnace dřeva</v>
      </c>
    </row>
    <row r="157" spans="1:26" ht="12.75" customHeight="1">
      <c r="A157" s="282"/>
      <c r="B157" s="282"/>
      <c r="C157" s="282"/>
      <c r="D157" s="298">
        <f>IF(ISNUMBER(SEARCH(ZAKL_DATA!$B$14,E157)),MAX($D$2:D156)+1,0)</f>
        <v>155</v>
      </c>
      <c r="E157" s="312" t="s">
        <v>1533</v>
      </c>
      <c r="F157" s="313">
        <v>3014</v>
      </c>
      <c r="G157" s="314"/>
      <c r="H157" s="315" t="str">
        <f>IFERROR(VLOOKUP(ROWS($H$3:H157),$D$3:$E$204,2,0),"")</f>
        <v>MIKULOV</v>
      </c>
      <c r="I157" s="282"/>
      <c r="J157" s="317" t="s">
        <v>1534</v>
      </c>
      <c r="K157" s="304" t="s">
        <v>1535</v>
      </c>
      <c r="M157" s="305">
        <f>IF(ISNUMBER(SEARCH(ZAKL_DATA!$B$29,N157)),MAX($M$2:M156)+1,0)</f>
        <v>155</v>
      </c>
      <c r="N157" s="306" t="s">
        <v>1536</v>
      </c>
      <c r="O157" s="323" t="s">
        <v>1537</v>
      </c>
      <c r="P157" s="308"/>
      <c r="Q157" s="309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306" t="s">
        <v>1536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306" t="s">
        <v>1536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306" t="s">
        <v>1536</v>
      </c>
      <c r="Z157" t="str">
        <f>IFERROR(VLOOKUP(ROWS($Z$3:Z157),$X$3:$Y$992,2,0),"")</f>
        <v>Podpůrné činnosti pro rostlinnou výrobu</v>
      </c>
    </row>
    <row r="158" spans="1:26" ht="12.75" customHeight="1">
      <c r="A158" s="282"/>
      <c r="B158" s="282"/>
      <c r="C158" s="282"/>
      <c r="D158" s="298">
        <f>IF(ISNUMBER(SEARCH(ZAKL_DATA!$B$14,E158)),MAX($D$2:D157)+1,0)</f>
        <v>156</v>
      </c>
      <c r="E158" s="312" t="s">
        <v>1538</v>
      </c>
      <c r="F158" s="313">
        <v>3015</v>
      </c>
      <c r="G158" s="314"/>
      <c r="H158" s="315" t="str">
        <f>IFERROR(VLOOKUP(ROWS($H$3:H158),$D$3:$E$204,2,0),"")</f>
        <v>MORAVSKÝ KRUMLOV</v>
      </c>
      <c r="I158" s="282"/>
      <c r="J158" s="317" t="s">
        <v>1539</v>
      </c>
      <c r="K158" s="304" t="s">
        <v>1540</v>
      </c>
      <c r="M158" s="305">
        <f>IF(ISNUMBER(SEARCH(ZAKL_DATA!$B$29,N158)),MAX($M$2:M157)+1,0)</f>
        <v>156</v>
      </c>
      <c r="N158" s="306" t="s">
        <v>1541</v>
      </c>
      <c r="O158" s="323" t="s">
        <v>1542</v>
      </c>
      <c r="P158" s="308"/>
      <c r="Q158" s="309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306" t="s">
        <v>1541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306" t="s">
        <v>1541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306" t="s">
        <v>1541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282"/>
      <c r="B159" s="282"/>
      <c r="C159" s="282"/>
      <c r="D159" s="298">
        <f>IF(ISNUMBER(SEARCH(ZAKL_DATA!$B$14,E159)),MAX($D$2:D158)+1,0)</f>
        <v>157</v>
      </c>
      <c r="E159" s="312" t="s">
        <v>1543</v>
      </c>
      <c r="F159" s="313">
        <v>3016</v>
      </c>
      <c r="G159" s="314"/>
      <c r="H159" s="315" t="str">
        <f>IFERROR(VLOOKUP(ROWS($H$3:H159),$D$3:$E$204,2,0),"")</f>
        <v>SLAVKOV U BRNA</v>
      </c>
      <c r="I159" s="282"/>
      <c r="J159" s="317" t="s">
        <v>1544</v>
      </c>
      <c r="K159" s="304" t="s">
        <v>1545</v>
      </c>
      <c r="M159" s="305">
        <f>IF(ISNUMBER(SEARCH(ZAKL_DATA!$B$29,N159)),MAX($M$2:M158)+1,0)</f>
        <v>157</v>
      </c>
      <c r="N159" s="306" t="s">
        <v>1546</v>
      </c>
      <c r="O159" s="323" t="s">
        <v>1547</v>
      </c>
      <c r="P159" s="308"/>
      <c r="Q159" s="309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306" t="s">
        <v>1546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306" t="s">
        <v>1546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306" t="s">
        <v>1546</v>
      </c>
      <c r="Z159" t="str">
        <f>IFERROR(VLOOKUP(ROWS($Z$3:Z159),$X$3:$Y$992,2,0),"")</f>
        <v>Podpůrné činnosti pro živočišnou výrobu</v>
      </c>
    </row>
    <row r="160" spans="1:26" ht="12.75" customHeight="1">
      <c r="A160" s="282"/>
      <c r="B160" s="282"/>
      <c r="C160" s="282"/>
      <c r="D160" s="298">
        <f>IF(ISNUMBER(SEARCH(ZAKL_DATA!$B$14,E160)),MAX($D$2:D159)+1,0)</f>
        <v>158</v>
      </c>
      <c r="E160" s="312" t="s">
        <v>1548</v>
      </c>
      <c r="F160" s="313">
        <v>3017</v>
      </c>
      <c r="G160" s="314"/>
      <c r="H160" s="315" t="str">
        <f>IFERROR(VLOOKUP(ROWS($H$3:H160),$D$3:$E$204,2,0),"")</f>
        <v>TIŠNOV</v>
      </c>
      <c r="I160" s="282"/>
      <c r="J160" s="317" t="s">
        <v>1549</v>
      </c>
      <c r="K160" s="304" t="s">
        <v>1550</v>
      </c>
      <c r="M160" s="305">
        <f>IF(ISNUMBER(SEARCH(ZAKL_DATA!$B$29,N160)),MAX($M$2:M159)+1,0)</f>
        <v>158</v>
      </c>
      <c r="N160" s="306" t="s">
        <v>1551</v>
      </c>
      <c r="O160" s="323" t="s">
        <v>1552</v>
      </c>
      <c r="P160" s="308"/>
      <c r="Q160" s="309" t="str">
        <f>IFERROR(VLOOKUP(ROWS($Q$3:Q160),$M$3:$N$992,2,0),"")</f>
        <v>Posklizňové činnosti</v>
      </c>
      <c r="R160">
        <f>IF(ISNUMBER(SEARCH('1Př1'!$A$32,N160)),MAX($M$2:M159)+1,0)</f>
        <v>158</v>
      </c>
      <c r="S160" s="306" t="s">
        <v>1551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306" t="s">
        <v>1551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306" t="s">
        <v>1551</v>
      </c>
      <c r="Z160" t="str">
        <f>IFERROR(VLOOKUP(ROWS($Z$3:Z160),$X$3:$Y$992,2,0),"")</f>
        <v>Posklizňové činnosti</v>
      </c>
    </row>
    <row r="161" spans="1:26" ht="12.75" customHeight="1">
      <c r="A161" s="282"/>
      <c r="B161" s="282"/>
      <c r="C161" s="282"/>
      <c r="D161" s="298">
        <f>IF(ISNUMBER(SEARCH(ZAKL_DATA!$B$14,E161)),MAX($D$2:D160)+1,0)</f>
        <v>159</v>
      </c>
      <c r="E161" s="312" t="s">
        <v>1553</v>
      </c>
      <c r="F161" s="313">
        <v>3018</v>
      </c>
      <c r="G161" s="314"/>
      <c r="H161" s="315" t="str">
        <f>IFERROR(VLOOKUP(ROWS($H$3:H161),$D$3:$E$204,2,0),"")</f>
        <v>VESELÍ NAD MORAVOU</v>
      </c>
      <c r="I161" s="282"/>
      <c r="J161" s="316" t="s">
        <v>1554</v>
      </c>
      <c r="K161" s="304" t="s">
        <v>1555</v>
      </c>
      <c r="M161" s="305">
        <f>IF(ISNUMBER(SEARCH(ZAKL_DATA!$B$29,N161)),MAX($M$2:M160)+1,0)</f>
        <v>159</v>
      </c>
      <c r="N161" s="306" t="s">
        <v>1556</v>
      </c>
      <c r="O161" s="323" t="s">
        <v>1557</v>
      </c>
      <c r="P161" s="308"/>
      <c r="Q161" s="309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306" t="s">
        <v>1556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306" t="s">
        <v>1556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306" t="s">
        <v>1556</v>
      </c>
      <c r="Z161" t="str">
        <f>IFERROR(VLOOKUP(ROWS($Z$3:Z161),$X$3:$Y$992,2,0),"")</f>
        <v>Zpracování osiva pro účely množení</v>
      </c>
    </row>
    <row r="162" spans="1:26" ht="12.75" customHeight="1">
      <c r="A162" s="282"/>
      <c r="B162" s="282"/>
      <c r="C162" s="282"/>
      <c r="D162" s="298">
        <f>IF(ISNUMBER(SEARCH(ZAKL_DATA!$B$14,E162)),MAX($D$2:D161)+1,0)</f>
        <v>160</v>
      </c>
      <c r="E162" s="312" t="s">
        <v>1558</v>
      </c>
      <c r="F162" s="313">
        <v>3019</v>
      </c>
      <c r="G162" s="314"/>
      <c r="H162" s="315" t="str">
        <f>IFERROR(VLOOKUP(ROWS($H$3:H162),$D$3:$E$204,2,0),"")</f>
        <v>VYŠKOV</v>
      </c>
      <c r="I162" s="282"/>
      <c r="J162" s="317" t="s">
        <v>1559</v>
      </c>
      <c r="K162" s="304" t="s">
        <v>1560</v>
      </c>
      <c r="M162" s="305">
        <f>IF(ISNUMBER(SEARCH(ZAKL_DATA!$B$29,N162)),MAX($M$2:M161)+1,0)</f>
        <v>160</v>
      </c>
      <c r="N162" s="306" t="s">
        <v>1561</v>
      </c>
      <c r="O162" s="323" t="s">
        <v>1562</v>
      </c>
      <c r="P162" s="308"/>
      <c r="Q162" s="309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306" t="s">
        <v>1561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306" t="s">
        <v>1561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306" t="s">
        <v>1561</v>
      </c>
      <c r="Z162" t="str">
        <f>IFERROR(VLOOKUP(ROWS($Z$3:Z162),$X$3:$Y$992,2,0),"")</f>
        <v>Výroba buničiny, papíru a lepenky</v>
      </c>
    </row>
    <row r="163" spans="1:26" ht="12.75" customHeight="1">
      <c r="A163" s="282"/>
      <c r="B163" s="282"/>
      <c r="C163" s="282"/>
      <c r="D163" s="298">
        <f>IF(ISNUMBER(SEARCH(ZAKL_DATA!$B$14,E163)),MAX($D$2:D162)+1,0)</f>
        <v>161</v>
      </c>
      <c r="E163" s="312" t="s">
        <v>1563</v>
      </c>
      <c r="F163" s="313">
        <v>3020</v>
      </c>
      <c r="G163" s="314"/>
      <c r="H163" s="315" t="str">
        <f>IFERROR(VLOOKUP(ROWS($H$3:H163),$D$3:$E$204,2,0),"")</f>
        <v>ZNOJMO</v>
      </c>
      <c r="I163" s="282"/>
      <c r="J163" s="317" t="s">
        <v>1564</v>
      </c>
      <c r="K163" s="304" t="s">
        <v>1565</v>
      </c>
      <c r="M163" s="305">
        <f>IF(ISNUMBER(SEARCH(ZAKL_DATA!$B$29,N163)),MAX($M$2:M162)+1,0)</f>
        <v>161</v>
      </c>
      <c r="N163" s="306" t="s">
        <v>1566</v>
      </c>
      <c r="O163" s="323" t="s">
        <v>1567</v>
      </c>
      <c r="P163" s="308"/>
      <c r="Q163" s="309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306" t="s">
        <v>1566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306" t="s">
        <v>1566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306" t="s">
        <v>1566</v>
      </c>
      <c r="Z163" t="str">
        <f>IFERROR(VLOOKUP(ROWS($Z$3:Z163),$X$3:$Y$992,2,0),"")</f>
        <v>Výroba výrobků z papíru a lepenky</v>
      </c>
    </row>
    <row r="164" spans="1:26" ht="12.75" customHeight="1">
      <c r="A164" s="282"/>
      <c r="B164" s="282"/>
      <c r="C164" s="282"/>
      <c r="D164" s="298">
        <f>IF(ISNUMBER(SEARCH(ZAKL_DATA!$B$14,E164)),MAX($D$2:D163)+1,0)</f>
        <v>162</v>
      </c>
      <c r="E164" s="312" t="s">
        <v>1568</v>
      </c>
      <c r="F164" s="313">
        <v>3101</v>
      </c>
      <c r="G164" s="314"/>
      <c r="H164" s="315" t="str">
        <f>IFERROR(VLOOKUP(ROWS($H$3:H164),$D$3:$E$204,2,0),"")</f>
        <v>OLOMOUC</v>
      </c>
      <c r="I164" s="282"/>
      <c r="J164" s="317" t="s">
        <v>1569</v>
      </c>
      <c r="K164" s="304" t="s">
        <v>1570</v>
      </c>
      <c r="M164" s="305">
        <f>IF(ISNUMBER(SEARCH(ZAKL_DATA!$B$29,N164)),MAX($M$2:M163)+1,0)</f>
        <v>162</v>
      </c>
      <c r="N164" s="306" t="s">
        <v>1571</v>
      </c>
      <c r="O164" s="323" t="s">
        <v>1572</v>
      </c>
      <c r="P164" s="308"/>
      <c r="Q164" s="309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306" t="s">
        <v>1571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306" t="s">
        <v>1571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306" t="s">
        <v>1571</v>
      </c>
      <c r="Z164" t="str">
        <f>IFERROR(VLOOKUP(ROWS($Z$3:Z164),$X$3:$Y$992,2,0),"")</f>
        <v>Tisk a činnosti související s tiskem</v>
      </c>
    </row>
    <row r="165" spans="1:26" ht="12.75" customHeight="1">
      <c r="A165" s="282"/>
      <c r="B165" s="282"/>
      <c r="C165" s="282"/>
      <c r="D165" s="298">
        <f>IF(ISNUMBER(SEARCH(ZAKL_DATA!$B$14,E165)),MAX($D$2:D164)+1,0)</f>
        <v>163</v>
      </c>
      <c r="E165" s="312" t="s">
        <v>1573</v>
      </c>
      <c r="F165" s="313">
        <v>3102</v>
      </c>
      <c r="G165" s="314"/>
      <c r="H165" s="315" t="str">
        <f>IFERROR(VLOOKUP(ROWS($H$3:H165),$D$3:$E$204,2,0),"")</f>
        <v>HRANICE</v>
      </c>
      <c r="I165" s="282"/>
      <c r="J165" s="316" t="s">
        <v>1574</v>
      </c>
      <c r="K165" s="304" t="s">
        <v>1575</v>
      </c>
      <c r="M165" s="305">
        <f>IF(ISNUMBER(SEARCH(ZAKL_DATA!$B$29,N165)),MAX($M$2:M164)+1,0)</f>
        <v>163</v>
      </c>
      <c r="N165" s="306" t="s">
        <v>1576</v>
      </c>
      <c r="O165" s="323" t="s">
        <v>1577</v>
      </c>
      <c r="P165" s="308"/>
      <c r="Q165" s="309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306" t="s">
        <v>1576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306" t="s">
        <v>1576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306" t="s">
        <v>1576</v>
      </c>
      <c r="Z165" t="str">
        <f>IFERROR(VLOOKUP(ROWS($Z$3:Z165),$X$3:$Y$992,2,0),"")</f>
        <v>Rozmnožování nahraných nosičů</v>
      </c>
    </row>
    <row r="166" spans="1:26" ht="12.75" customHeight="1">
      <c r="A166" s="282"/>
      <c r="B166" s="282"/>
      <c r="C166" s="282"/>
      <c r="D166" s="298">
        <f>IF(ISNUMBER(SEARCH(ZAKL_DATA!$B$14,E166)),MAX($D$2:D165)+1,0)</f>
        <v>164</v>
      </c>
      <c r="E166" s="312" t="s">
        <v>1578</v>
      </c>
      <c r="F166" s="313">
        <v>3103</v>
      </c>
      <c r="G166" s="314"/>
      <c r="H166" s="315" t="str">
        <f>IFERROR(VLOOKUP(ROWS($H$3:H166),$D$3:$E$204,2,0),"")</f>
        <v>JESENÍK</v>
      </c>
      <c r="I166" s="282"/>
      <c r="J166" s="317" t="s">
        <v>1579</v>
      </c>
      <c r="K166" s="304" t="s">
        <v>1580</v>
      </c>
      <c r="M166" s="305">
        <f>IF(ISNUMBER(SEARCH(ZAKL_DATA!$B$29,N166)),MAX($M$2:M165)+1,0)</f>
        <v>164</v>
      </c>
      <c r="N166" s="306" t="s">
        <v>1581</v>
      </c>
      <c r="O166" s="323" t="s">
        <v>1582</v>
      </c>
      <c r="P166" s="308"/>
      <c r="Q166" s="309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306" t="s">
        <v>1581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306" t="s">
        <v>1581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306" t="s">
        <v>1581</v>
      </c>
      <c r="Z166" t="str">
        <f>IFERROR(VLOOKUP(ROWS($Z$3:Z166),$X$3:$Y$992,2,0),"")</f>
        <v>Výroba koksárenských produktů</v>
      </c>
    </row>
    <row r="167" spans="1:26" ht="12.75" customHeight="1">
      <c r="A167" s="282"/>
      <c r="B167" s="282"/>
      <c r="C167" s="282"/>
      <c r="D167" s="298">
        <f>IF(ISNUMBER(SEARCH(ZAKL_DATA!$B$14,E167)),MAX($D$2:D166)+1,0)</f>
        <v>165</v>
      </c>
      <c r="E167" s="312" t="s">
        <v>1583</v>
      </c>
      <c r="F167" s="313">
        <v>3104</v>
      </c>
      <c r="G167" s="314"/>
      <c r="H167" s="315" t="str">
        <f>IFERROR(VLOOKUP(ROWS($H$3:H167),$D$3:$E$204,2,0),"")</f>
        <v>KONICE</v>
      </c>
      <c r="I167" s="282"/>
      <c r="J167" s="317" t="s">
        <v>1584</v>
      </c>
      <c r="K167" s="304" t="s">
        <v>1585</v>
      </c>
      <c r="M167" s="305">
        <f>IF(ISNUMBER(SEARCH(ZAKL_DATA!$B$29,N167)),MAX($M$2:M166)+1,0)</f>
        <v>165</v>
      </c>
      <c r="N167" s="306" t="s">
        <v>1586</v>
      </c>
      <c r="O167" s="323" t="s">
        <v>1587</v>
      </c>
      <c r="P167" s="308"/>
      <c r="Q167" s="309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306" t="s">
        <v>1586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306" t="s">
        <v>1586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306" t="s">
        <v>1586</v>
      </c>
      <c r="Z167" t="str">
        <f>IFERROR(VLOOKUP(ROWS($Z$3:Z167),$X$3:$Y$992,2,0),"")</f>
        <v>Výroba rafinovaných ropných produktů</v>
      </c>
    </row>
    <row r="168" spans="1:26" ht="12.75" customHeight="1">
      <c r="A168" s="282"/>
      <c r="B168" s="282"/>
      <c r="C168" s="282"/>
      <c r="D168" s="298">
        <f>IF(ISNUMBER(SEARCH(ZAKL_DATA!$B$14,E168)),MAX($D$2:D167)+1,0)</f>
        <v>166</v>
      </c>
      <c r="E168" s="312" t="s">
        <v>1588</v>
      </c>
      <c r="F168" s="313">
        <v>3105</v>
      </c>
      <c r="G168" s="314"/>
      <c r="H168" s="315" t="str">
        <f>IFERROR(VLOOKUP(ROWS($H$3:H168),$D$3:$E$204,2,0),"")</f>
        <v>LITOVEL</v>
      </c>
      <c r="I168" s="282"/>
      <c r="J168" s="317" t="s">
        <v>1589</v>
      </c>
      <c r="K168" s="304" t="s">
        <v>1590</v>
      </c>
      <c r="M168" s="305">
        <f>IF(ISNUMBER(SEARCH(ZAKL_DATA!$B$29,N168)),MAX($M$2:M167)+1,0)</f>
        <v>166</v>
      </c>
      <c r="N168" s="306" t="s">
        <v>1591</v>
      </c>
      <c r="O168" s="307" t="s">
        <v>1592</v>
      </c>
      <c r="P168" s="308"/>
      <c r="Q168" s="309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306" t="s">
        <v>1591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306" t="s">
        <v>1591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306" t="s">
        <v>1591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282"/>
      <c r="B169" s="282"/>
      <c r="C169" s="282"/>
      <c r="D169" s="298">
        <f>IF(ISNUMBER(SEARCH(ZAKL_DATA!$B$14,E169)),MAX($D$2:D168)+1,0)</f>
        <v>167</v>
      </c>
      <c r="E169" s="312" t="s">
        <v>1593</v>
      </c>
      <c r="F169" s="313">
        <v>3106</v>
      </c>
      <c r="G169" s="314"/>
      <c r="H169" s="315" t="str">
        <f>IFERROR(VLOOKUP(ROWS($H$3:H169),$D$3:$E$204,2,0),"")</f>
        <v>PROSTĚJOV</v>
      </c>
      <c r="I169" s="282"/>
      <c r="J169" s="317" t="s">
        <v>1594</v>
      </c>
      <c r="K169" s="304" t="s">
        <v>1595</v>
      </c>
      <c r="M169" s="305">
        <f>IF(ISNUMBER(SEARCH(ZAKL_DATA!$B$29,N169)),MAX($M$2:M168)+1,0)</f>
        <v>167</v>
      </c>
      <c r="N169" s="306" t="s">
        <v>1596</v>
      </c>
      <c r="O169" s="307" t="s">
        <v>1597</v>
      </c>
      <c r="P169" s="308"/>
      <c r="Q169" s="309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306" t="s">
        <v>1596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306" t="s">
        <v>1596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306" t="s">
        <v>1596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282"/>
      <c r="B170" s="282"/>
      <c r="C170" s="282"/>
      <c r="D170" s="298">
        <f>IF(ISNUMBER(SEARCH(ZAKL_DATA!$B$14,E170)),MAX($D$2:D169)+1,0)</f>
        <v>168</v>
      </c>
      <c r="E170" s="312" t="s">
        <v>1598</v>
      </c>
      <c r="F170" s="313">
        <v>3107</v>
      </c>
      <c r="G170" s="314"/>
      <c r="H170" s="315" t="str">
        <f>IFERROR(VLOOKUP(ROWS($H$3:H170),$D$3:$E$204,2,0),"")</f>
        <v>PŘEROV</v>
      </c>
      <c r="I170" s="282"/>
      <c r="J170" s="317" t="s">
        <v>1599</v>
      </c>
      <c r="K170" s="304" t="s">
        <v>1600</v>
      </c>
      <c r="M170" s="305">
        <f>IF(ISNUMBER(SEARCH(ZAKL_DATA!$B$29,N170)),MAX($M$2:M169)+1,0)</f>
        <v>168</v>
      </c>
      <c r="N170" s="306" t="s">
        <v>1601</v>
      </c>
      <c r="O170" s="307" t="s">
        <v>1602</v>
      </c>
      <c r="P170" s="308"/>
      <c r="Q170" s="309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306" t="s">
        <v>1601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306" t="s">
        <v>1601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306" t="s">
        <v>1601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282"/>
      <c r="B171" s="282"/>
      <c r="C171" s="282"/>
      <c r="D171" s="298">
        <f>IF(ISNUMBER(SEARCH(ZAKL_DATA!$B$14,E171)),MAX($D$2:D170)+1,0)</f>
        <v>169</v>
      </c>
      <c r="E171" s="312" t="s">
        <v>1603</v>
      </c>
      <c r="F171" s="313">
        <v>3108</v>
      </c>
      <c r="G171" s="314"/>
      <c r="H171" s="315" t="str">
        <f>IFERROR(VLOOKUP(ROWS($H$3:H171),$D$3:$E$204,2,0),"")</f>
        <v>ŠTERNBERK</v>
      </c>
      <c r="I171" s="282"/>
      <c r="J171" s="317" t="s">
        <v>1604</v>
      </c>
      <c r="K171" s="304" t="s">
        <v>1605</v>
      </c>
      <c r="M171" s="305">
        <f>IF(ISNUMBER(SEARCH(ZAKL_DATA!$B$29,N171)),MAX($M$2:M170)+1,0)</f>
        <v>169</v>
      </c>
      <c r="N171" s="306" t="s">
        <v>1606</v>
      </c>
      <c r="O171" s="307" t="s">
        <v>1607</v>
      </c>
      <c r="P171" s="308"/>
      <c r="Q171" s="309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306" t="s">
        <v>1606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306" t="s">
        <v>1606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306" t="s">
        <v>1606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282"/>
      <c r="B172" s="282"/>
      <c r="C172" s="282"/>
      <c r="D172" s="298">
        <f>IF(ISNUMBER(SEARCH(ZAKL_DATA!$B$14,E172)),MAX($D$2:D171)+1,0)</f>
        <v>170</v>
      </c>
      <c r="E172" s="312" t="s">
        <v>1608</v>
      </c>
      <c r="F172" s="313">
        <v>3109</v>
      </c>
      <c r="G172" s="314"/>
      <c r="H172" s="315" t="str">
        <f>IFERROR(VLOOKUP(ROWS($H$3:H172),$D$3:$E$204,2,0),"")</f>
        <v>ŠUMPERK</v>
      </c>
      <c r="I172" s="282"/>
      <c r="J172" s="317" t="s">
        <v>1609</v>
      </c>
      <c r="K172" s="304" t="s">
        <v>1610</v>
      </c>
      <c r="M172" s="305">
        <f>IF(ISNUMBER(SEARCH(ZAKL_DATA!$B$29,N172)),MAX($M$2:M171)+1,0)</f>
        <v>170</v>
      </c>
      <c r="N172" s="306" t="s">
        <v>1611</v>
      </c>
      <c r="O172" s="323" t="s">
        <v>1612</v>
      </c>
      <c r="P172" s="308"/>
      <c r="Q172" s="309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306" t="s">
        <v>1611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306" t="s">
        <v>1611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306" t="s">
        <v>1611</v>
      </c>
      <c r="Z172" t="str">
        <f>IFERROR(VLOOKUP(ROWS($Z$3:Z172),$X$3:$Y$992,2,0),"")</f>
        <v>Výroba ostatních chemických výrobků</v>
      </c>
    </row>
    <row r="173" spans="1:26" ht="12.75" customHeight="1">
      <c r="A173" s="282"/>
      <c r="B173" s="282"/>
      <c r="C173" s="282"/>
      <c r="D173" s="298">
        <f>IF(ISNUMBER(SEARCH(ZAKL_DATA!$B$14,E173)),MAX($D$2:D172)+1,0)</f>
        <v>171</v>
      </c>
      <c r="E173" s="312" t="s">
        <v>1613</v>
      </c>
      <c r="F173" s="313">
        <v>3110</v>
      </c>
      <c r="G173" s="314"/>
      <c r="H173" s="315" t="str">
        <f>IFERROR(VLOOKUP(ROWS($H$3:H173),$D$3:$E$204,2,0),"")</f>
        <v>ZÁBŘEH</v>
      </c>
      <c r="I173" s="282"/>
      <c r="J173" s="317" t="s">
        <v>1614</v>
      </c>
      <c r="K173" s="304" t="s">
        <v>1615</v>
      </c>
      <c r="M173" s="305">
        <f>IF(ISNUMBER(SEARCH(ZAKL_DATA!$B$29,N173)),MAX($M$2:M172)+1,0)</f>
        <v>171</v>
      </c>
      <c r="N173" s="306" t="s">
        <v>1616</v>
      </c>
      <c r="O173" s="307" t="s">
        <v>1617</v>
      </c>
      <c r="P173" s="308"/>
      <c r="Q173" s="309" t="str">
        <f>IFERROR(VLOOKUP(ROWS($Q$3:Q173),$M$3:$N$992,2,0),"")</f>
        <v>Výroba chemických vláken</v>
      </c>
      <c r="R173">
        <f>IF(ISNUMBER(SEARCH('1Př1'!$A$32,N173)),MAX($M$2:M172)+1,0)</f>
        <v>171</v>
      </c>
      <c r="S173" s="306" t="s">
        <v>1616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306" t="s">
        <v>1616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306" t="s">
        <v>1616</v>
      </c>
      <c r="Z173" t="str">
        <f>IFERROR(VLOOKUP(ROWS($Z$3:Z173),$X$3:$Y$992,2,0),"")</f>
        <v>Výroba chemických vláken</v>
      </c>
    </row>
    <row r="174" spans="1:26" ht="12.75" customHeight="1">
      <c r="A174" s="282"/>
      <c r="B174" s="282"/>
      <c r="C174" s="282"/>
      <c r="D174" s="298">
        <f>IF(ISNUMBER(SEARCH(ZAKL_DATA!$B$14,E174)),MAX($D$2:D173)+1,0)</f>
        <v>172</v>
      </c>
      <c r="E174" s="312" t="s">
        <v>1618</v>
      </c>
      <c r="F174" s="313">
        <v>3201</v>
      </c>
      <c r="G174" s="314"/>
      <c r="H174" s="315" t="str">
        <f>IFERROR(VLOOKUP(ROWS($H$3:H174),$D$3:$E$204,2,0),"")</f>
        <v>OSTRAVA I</v>
      </c>
      <c r="I174" s="282"/>
      <c r="J174" s="317" t="s">
        <v>1619</v>
      </c>
      <c r="K174" s="304" t="s">
        <v>1620</v>
      </c>
      <c r="M174" s="305">
        <f>IF(ISNUMBER(SEARCH(ZAKL_DATA!$B$29,N174)),MAX($M$2:M173)+1,0)</f>
        <v>172</v>
      </c>
      <c r="N174" s="306" t="s">
        <v>1621</v>
      </c>
      <c r="O174" s="323" t="s">
        <v>1622</v>
      </c>
      <c r="P174" s="308"/>
      <c r="Q174" s="309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306" t="s">
        <v>1621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306" t="s">
        <v>1621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306" t="s">
        <v>1621</v>
      </c>
      <c r="Z174" t="str">
        <f>IFERROR(VLOOKUP(ROWS($Z$3:Z174),$X$3:$Y$992,2,0),"")</f>
        <v>Výroba základních farmaceutických výrobků</v>
      </c>
    </row>
    <row r="175" spans="1:26" ht="12.75" customHeight="1">
      <c r="A175" s="282"/>
      <c r="B175" s="282"/>
      <c r="C175" s="282"/>
      <c r="D175" s="298">
        <f>IF(ISNUMBER(SEARCH(ZAKL_DATA!$B$14,E175)),MAX($D$2:D174)+1,0)</f>
        <v>173</v>
      </c>
      <c r="E175" s="312" t="s">
        <v>1623</v>
      </c>
      <c r="F175" s="313">
        <v>3202</v>
      </c>
      <c r="G175" s="314"/>
      <c r="H175" s="315" t="str">
        <f>IFERROR(VLOOKUP(ROWS($H$3:H175),$D$3:$E$204,2,0),"")</f>
        <v>OSTRAVA II</v>
      </c>
      <c r="I175" s="282"/>
      <c r="J175" s="317" t="s">
        <v>1624</v>
      </c>
      <c r="K175" s="304" t="s">
        <v>1625</v>
      </c>
      <c r="M175" s="305">
        <f>IF(ISNUMBER(SEARCH(ZAKL_DATA!$B$29,N175)),MAX($M$2:M174)+1,0)</f>
        <v>173</v>
      </c>
      <c r="N175" s="306" t="s">
        <v>1626</v>
      </c>
      <c r="O175" s="307" t="s">
        <v>1627</v>
      </c>
      <c r="P175" s="308"/>
      <c r="Q175" s="309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306" t="s">
        <v>1626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306" t="s">
        <v>1626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306" t="s">
        <v>1626</v>
      </c>
      <c r="Z175" t="str">
        <f>IFERROR(VLOOKUP(ROWS($Z$3:Z175),$X$3:$Y$992,2,0),"")</f>
        <v>Výroba farmaceutických přípravků</v>
      </c>
    </row>
    <row r="176" spans="1:26" ht="12.75" customHeight="1">
      <c r="A176" s="282"/>
      <c r="B176" s="282"/>
      <c r="C176" s="282"/>
      <c r="D176" s="298">
        <f>IF(ISNUMBER(SEARCH(ZAKL_DATA!$B$14,E176)),MAX($D$2:D175)+1,0)</f>
        <v>174</v>
      </c>
      <c r="E176" s="312" t="s">
        <v>1628</v>
      </c>
      <c r="F176" s="313">
        <v>3203</v>
      </c>
      <c r="G176" s="314"/>
      <c r="H176" s="315" t="str">
        <f>IFERROR(VLOOKUP(ROWS($H$3:H176),$D$3:$E$204,2,0),"")</f>
        <v>OSTRAVA III</v>
      </c>
      <c r="I176" s="282"/>
      <c r="J176" s="317" t="s">
        <v>1629</v>
      </c>
      <c r="K176" s="304" t="s">
        <v>1630</v>
      </c>
      <c r="M176" s="305">
        <f>IF(ISNUMBER(SEARCH(ZAKL_DATA!$B$29,N176)),MAX($M$2:M175)+1,0)</f>
        <v>174</v>
      </c>
      <c r="N176" s="306" t="s">
        <v>1631</v>
      </c>
      <c r="O176" s="323" t="s">
        <v>1632</v>
      </c>
      <c r="P176" s="308"/>
      <c r="Q176" s="309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306" t="s">
        <v>1631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306" t="s">
        <v>1631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306" t="s">
        <v>1631</v>
      </c>
      <c r="Z176" t="str">
        <f>IFERROR(VLOOKUP(ROWS($Z$3:Z176),$X$3:$Y$992,2,0),"")</f>
        <v>Výroba pryžových výrobků</v>
      </c>
    </row>
    <row r="177" spans="1:26" ht="12.75" customHeight="1">
      <c r="A177" s="282"/>
      <c r="B177" s="282"/>
      <c r="C177" s="282"/>
      <c r="D177" s="298">
        <f>IF(ISNUMBER(SEARCH(ZAKL_DATA!$B$14,E177)),MAX($D$2:D176)+1,0)</f>
        <v>175</v>
      </c>
      <c r="E177" s="312" t="s">
        <v>1633</v>
      </c>
      <c r="F177" s="313">
        <v>3204</v>
      </c>
      <c r="G177" s="314"/>
      <c r="H177" s="315" t="str">
        <f>IFERROR(VLOOKUP(ROWS($H$3:H177),$D$3:$E$204,2,0),"")</f>
        <v>BOHUMÍN</v>
      </c>
      <c r="I177" s="282"/>
      <c r="J177" s="317" t="s">
        <v>1634</v>
      </c>
      <c r="K177" s="304" t="s">
        <v>1635</v>
      </c>
      <c r="M177" s="305">
        <f>IF(ISNUMBER(SEARCH(ZAKL_DATA!$B$29,N177)),MAX($M$2:M176)+1,0)</f>
        <v>175</v>
      </c>
      <c r="N177" s="306" t="s">
        <v>1636</v>
      </c>
      <c r="O177" s="307" t="s">
        <v>1637</v>
      </c>
      <c r="P177" s="308"/>
      <c r="Q177" s="309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306" t="s">
        <v>1636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306" t="s">
        <v>1636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306" t="s">
        <v>1636</v>
      </c>
      <c r="Z177" t="str">
        <f>IFERROR(VLOOKUP(ROWS($Z$3:Z177),$X$3:$Y$992,2,0),"")</f>
        <v>Výroba plastových výrobků</v>
      </c>
    </row>
    <row r="178" spans="1:26" ht="12.75" customHeight="1">
      <c r="A178" s="282"/>
      <c r="B178" s="282"/>
      <c r="C178" s="282"/>
      <c r="D178" s="298">
        <f>IF(ISNUMBER(SEARCH(ZAKL_DATA!$B$14,E178)),MAX($D$2:D177)+1,0)</f>
        <v>176</v>
      </c>
      <c r="E178" s="312" t="s">
        <v>1638</v>
      </c>
      <c r="F178" s="313">
        <v>3205</v>
      </c>
      <c r="G178" s="314"/>
      <c r="H178" s="315" t="str">
        <f>IFERROR(VLOOKUP(ROWS($H$3:H178),$D$3:$E$204,2,0),"")</f>
        <v>BRUNTÁL</v>
      </c>
      <c r="I178" s="282"/>
      <c r="J178" s="317" t="s">
        <v>1639</v>
      </c>
      <c r="K178" s="304" t="s">
        <v>1640</v>
      </c>
      <c r="M178" s="305">
        <f>IF(ISNUMBER(SEARCH(ZAKL_DATA!$B$29,N178)),MAX($M$2:M177)+1,0)</f>
        <v>176</v>
      </c>
      <c r="N178" s="306" t="s">
        <v>1641</v>
      </c>
      <c r="O178" s="323" t="s">
        <v>1642</v>
      </c>
      <c r="P178" s="308"/>
      <c r="Q178" s="309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306" t="s">
        <v>1641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306" t="s">
        <v>1641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306" t="s">
        <v>1641</v>
      </c>
      <c r="Z178" t="str">
        <f>IFERROR(VLOOKUP(ROWS($Z$3:Z178),$X$3:$Y$992,2,0),"")</f>
        <v>Výroba skla a skleněných výrobků</v>
      </c>
    </row>
    <row r="179" spans="1:26" ht="12.75" customHeight="1">
      <c r="A179" s="282"/>
      <c r="B179" s="282"/>
      <c r="C179" s="282"/>
      <c r="D179" s="298">
        <f>IF(ISNUMBER(SEARCH(ZAKL_DATA!$B$14,E179)),MAX($D$2:D178)+1,0)</f>
        <v>177</v>
      </c>
      <c r="E179" s="312" t="s">
        <v>1643</v>
      </c>
      <c r="F179" s="313">
        <v>3206</v>
      </c>
      <c r="G179" s="314"/>
      <c r="H179" s="315" t="str">
        <f>IFERROR(VLOOKUP(ROWS($H$3:H179),$D$3:$E$204,2,0),"")</f>
        <v>ČESKÝ TĚŠÍN</v>
      </c>
      <c r="I179" s="282"/>
      <c r="J179" s="317" t="s">
        <v>1644</v>
      </c>
      <c r="K179" s="304" t="s">
        <v>1645</v>
      </c>
      <c r="M179" s="305">
        <f>IF(ISNUMBER(SEARCH(ZAKL_DATA!$B$29,N179)),MAX($M$2:M178)+1,0)</f>
        <v>177</v>
      </c>
      <c r="N179" s="306" t="s">
        <v>1646</v>
      </c>
      <c r="O179" s="323" t="s">
        <v>1647</v>
      </c>
      <c r="P179" s="308"/>
      <c r="Q179" s="309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306" t="s">
        <v>1646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306" t="s">
        <v>1646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306" t="s">
        <v>1646</v>
      </c>
      <c r="Z179" t="str">
        <f>IFERROR(VLOOKUP(ROWS($Z$3:Z179),$X$3:$Y$992,2,0),"")</f>
        <v>Výroba žáruvzdorných výrobků</v>
      </c>
    </row>
    <row r="180" spans="1:26" ht="12.75" customHeight="1">
      <c r="A180" s="282"/>
      <c r="B180" s="282"/>
      <c r="C180" s="282"/>
      <c r="D180" s="298">
        <f>IF(ISNUMBER(SEARCH(ZAKL_DATA!$B$14,E180)),MAX($D$2:D179)+1,0)</f>
        <v>178</v>
      </c>
      <c r="E180" s="312" t="s">
        <v>1648</v>
      </c>
      <c r="F180" s="313">
        <v>3207</v>
      </c>
      <c r="G180" s="314"/>
      <c r="H180" s="315" t="str">
        <f>IFERROR(VLOOKUP(ROWS($H$3:H180),$D$3:$E$204,2,0),"")</f>
        <v>FRÝDEK-MÍSTEK</v>
      </c>
      <c r="I180" s="282"/>
      <c r="J180" s="317" t="s">
        <v>1649</v>
      </c>
      <c r="K180" s="304" t="s">
        <v>1650</v>
      </c>
      <c r="M180" s="305">
        <f>IF(ISNUMBER(SEARCH(ZAKL_DATA!$B$29,N180)),MAX($M$2:M179)+1,0)</f>
        <v>178</v>
      </c>
      <c r="N180" s="306" t="s">
        <v>1651</v>
      </c>
      <c r="O180" s="323" t="s">
        <v>1652</v>
      </c>
      <c r="P180" s="308"/>
      <c r="Q180" s="309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306" t="s">
        <v>1651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306" t="s">
        <v>1651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306" t="s">
        <v>1651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282"/>
      <c r="B181" s="282"/>
      <c r="C181" s="282"/>
      <c r="D181" s="298">
        <f>IF(ISNUMBER(SEARCH(ZAKL_DATA!$B$14,E181)),MAX($D$2:D180)+1,0)</f>
        <v>179</v>
      </c>
      <c r="E181" s="312" t="s">
        <v>1653</v>
      </c>
      <c r="F181" s="313">
        <v>3208</v>
      </c>
      <c r="G181" s="314"/>
      <c r="H181" s="315" t="str">
        <f>IFERROR(VLOOKUP(ROWS($H$3:H181),$D$3:$E$204,2,0),"")</f>
        <v>FRÝDLANT NAD OSTRAV.</v>
      </c>
      <c r="I181" s="282"/>
      <c r="J181" s="317" t="s">
        <v>1654</v>
      </c>
      <c r="K181" s="304" t="s">
        <v>1655</v>
      </c>
      <c r="M181" s="305">
        <f>IF(ISNUMBER(SEARCH(ZAKL_DATA!$B$29,N181)),MAX($M$2:M180)+1,0)</f>
        <v>179</v>
      </c>
      <c r="N181" s="306" t="s">
        <v>1656</v>
      </c>
      <c r="O181" s="323" t="s">
        <v>1657</v>
      </c>
      <c r="P181" s="308"/>
      <c r="Q181" s="309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306" t="s">
        <v>1656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306" t="s">
        <v>1656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306" t="s">
        <v>1656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282"/>
      <c r="B182" s="282"/>
      <c r="C182" s="282"/>
      <c r="D182" s="298">
        <f>IF(ISNUMBER(SEARCH(ZAKL_DATA!$B$14,E182)),MAX($D$2:D181)+1,0)</f>
        <v>180</v>
      </c>
      <c r="E182" s="312" t="s">
        <v>1658</v>
      </c>
      <c r="F182" s="313">
        <v>3209</v>
      </c>
      <c r="G182" s="314"/>
      <c r="H182" s="315" t="str">
        <f>IFERROR(VLOOKUP(ROWS($H$3:H182),$D$3:$E$204,2,0),"")</f>
        <v>FULNEK</v>
      </c>
      <c r="I182" s="282"/>
      <c r="J182" s="317" t="s">
        <v>1659</v>
      </c>
      <c r="K182" s="304" t="s">
        <v>1660</v>
      </c>
      <c r="M182" s="305">
        <f>IF(ISNUMBER(SEARCH(ZAKL_DATA!$B$29,N182)),MAX($M$2:M181)+1,0)</f>
        <v>180</v>
      </c>
      <c r="N182" s="306" t="s">
        <v>1661</v>
      </c>
      <c r="O182" s="323" t="s">
        <v>1662</v>
      </c>
      <c r="P182" s="308"/>
      <c r="Q182" s="309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306" t="s">
        <v>1661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306" t="s">
        <v>1661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306" t="s">
        <v>1661</v>
      </c>
      <c r="Z182" t="str">
        <f>IFERROR(VLOOKUP(ROWS($Z$3:Z182),$X$3:$Y$992,2,0),"")</f>
        <v>Výroba cementu, vápna a sádry</v>
      </c>
    </row>
    <row r="183" spans="1:26" ht="12.75" customHeight="1">
      <c r="A183" s="282"/>
      <c r="B183" s="282"/>
      <c r="C183" s="282"/>
      <c r="D183" s="298">
        <f>IF(ISNUMBER(SEARCH(ZAKL_DATA!$B$14,E183)),MAX($D$2:D182)+1,0)</f>
        <v>181</v>
      </c>
      <c r="E183" s="312" t="s">
        <v>1663</v>
      </c>
      <c r="F183" s="313">
        <v>3210</v>
      </c>
      <c r="G183" s="314"/>
      <c r="H183" s="315" t="str">
        <f>IFERROR(VLOOKUP(ROWS($H$3:H183),$D$3:$E$204,2,0),"")</f>
        <v>HAVÍŘOV</v>
      </c>
      <c r="I183" s="282"/>
      <c r="J183" s="317" t="s">
        <v>1664</v>
      </c>
      <c r="K183" s="304" t="s">
        <v>1665</v>
      </c>
      <c r="M183" s="305">
        <f>IF(ISNUMBER(SEARCH(ZAKL_DATA!$B$29,N183)),MAX($M$2:M182)+1,0)</f>
        <v>181</v>
      </c>
      <c r="N183" s="306" t="s">
        <v>1666</v>
      </c>
      <c r="O183" s="323" t="s">
        <v>1667</v>
      </c>
      <c r="P183" s="308"/>
      <c r="Q183" s="309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306" t="s">
        <v>1666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306" t="s">
        <v>1666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306" t="s">
        <v>1666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282"/>
      <c r="B184" s="282"/>
      <c r="C184" s="282"/>
      <c r="D184" s="298">
        <f>IF(ISNUMBER(SEARCH(ZAKL_DATA!$B$14,E184)),MAX($D$2:D183)+1,0)</f>
        <v>182</v>
      </c>
      <c r="E184" s="312" t="s">
        <v>1668</v>
      </c>
      <c r="F184" s="313">
        <v>3211</v>
      </c>
      <c r="G184" s="314"/>
      <c r="H184" s="315" t="str">
        <f>IFERROR(VLOOKUP(ROWS($H$3:H184),$D$3:$E$204,2,0),"")</f>
        <v>HLUČÍN</v>
      </c>
      <c r="I184" s="282"/>
      <c r="J184" s="317" t="s">
        <v>1669</v>
      </c>
      <c r="K184" s="304" t="s">
        <v>1670</v>
      </c>
      <c r="M184" s="305">
        <f>IF(ISNUMBER(SEARCH(ZAKL_DATA!$B$29,N184)),MAX($M$2:M183)+1,0)</f>
        <v>182</v>
      </c>
      <c r="N184" s="306" t="s">
        <v>1671</v>
      </c>
      <c r="O184" s="323" t="s">
        <v>1672</v>
      </c>
      <c r="P184" s="308"/>
      <c r="Q184" s="309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306" t="s">
        <v>1671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306" t="s">
        <v>1671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306" t="s">
        <v>1671</v>
      </c>
      <c r="Z184" t="str">
        <f>IFERROR(VLOOKUP(ROWS($Z$3:Z184),$X$3:$Y$992,2,0),"")</f>
        <v>Řezání, tvarování a konečná úprava kamenů</v>
      </c>
    </row>
    <row r="185" spans="1:26" ht="12.75" customHeight="1">
      <c r="A185" s="282"/>
      <c r="B185" s="282"/>
      <c r="C185" s="282"/>
      <c r="D185" s="298">
        <f>IF(ISNUMBER(SEARCH(ZAKL_DATA!$B$14,E185)),MAX($D$2:D184)+1,0)</f>
        <v>183</v>
      </c>
      <c r="E185" s="312" t="s">
        <v>1673</v>
      </c>
      <c r="F185" s="313">
        <v>3212</v>
      </c>
      <c r="G185" s="314"/>
      <c r="H185" s="315" t="str">
        <f>IFERROR(VLOOKUP(ROWS($H$3:H185),$D$3:$E$204,2,0),"")</f>
        <v>KARVINÁ</v>
      </c>
      <c r="I185" s="282"/>
      <c r="J185" s="317" t="s">
        <v>1674</v>
      </c>
      <c r="K185" s="304" t="s">
        <v>1675</v>
      </c>
      <c r="M185" s="305">
        <f>IF(ISNUMBER(SEARCH(ZAKL_DATA!$B$29,N185)),MAX($M$2:M184)+1,0)</f>
        <v>183</v>
      </c>
      <c r="N185" s="306" t="s">
        <v>1676</v>
      </c>
      <c r="O185" s="307" t="s">
        <v>1677</v>
      </c>
      <c r="P185" s="308"/>
      <c r="Q185" s="309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306" t="s">
        <v>1676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306" t="s">
        <v>1676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306" t="s">
        <v>1676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282"/>
      <c r="B186" s="282"/>
      <c r="C186" s="282"/>
      <c r="D186" s="298">
        <f>IF(ISNUMBER(SEARCH(ZAKL_DATA!$B$14,E186)),MAX($D$2:D185)+1,0)</f>
        <v>184</v>
      </c>
      <c r="E186" s="312" t="s">
        <v>1678</v>
      </c>
      <c r="F186" s="313">
        <v>3213</v>
      </c>
      <c r="G186" s="314"/>
      <c r="H186" s="315" t="str">
        <f>IFERROR(VLOOKUP(ROWS($H$3:H186),$D$3:$E$204,2,0),"")</f>
        <v>KOPŘIVNICE</v>
      </c>
      <c r="I186" s="282"/>
      <c r="J186" s="317" t="s">
        <v>1679</v>
      </c>
      <c r="K186" s="304" t="s">
        <v>1680</v>
      </c>
      <c r="M186" s="305">
        <f>IF(ISNUMBER(SEARCH(ZAKL_DATA!$B$29,N186)),MAX($M$2:M185)+1,0)</f>
        <v>184</v>
      </c>
      <c r="N186" s="306" t="s">
        <v>1681</v>
      </c>
      <c r="O186" s="307" t="s">
        <v>1682</v>
      </c>
      <c r="P186" s="308"/>
      <c r="Q186" s="309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306" t="s">
        <v>1681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306" t="s">
        <v>1681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306" t="s">
        <v>1681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282"/>
      <c r="B187" s="282"/>
      <c r="C187" s="282"/>
      <c r="D187" s="298">
        <f>IF(ISNUMBER(SEARCH(ZAKL_DATA!$B$14,E187)),MAX($D$2:D186)+1,0)</f>
        <v>185</v>
      </c>
      <c r="E187" s="312" t="s">
        <v>1683</v>
      </c>
      <c r="F187" s="313">
        <v>3214</v>
      </c>
      <c r="G187" s="314"/>
      <c r="H187" s="315" t="str">
        <f>IFERROR(VLOOKUP(ROWS($H$3:H187),$D$3:$E$204,2,0),"")</f>
        <v>KRNOV</v>
      </c>
      <c r="I187" s="282"/>
      <c r="J187" s="317" t="s">
        <v>1684</v>
      </c>
      <c r="K187" s="304" t="s">
        <v>1685</v>
      </c>
      <c r="M187" s="305">
        <f>IF(ISNUMBER(SEARCH(ZAKL_DATA!$B$29,N187)),MAX($M$2:M186)+1,0)</f>
        <v>185</v>
      </c>
      <c r="N187" s="306" t="s">
        <v>1686</v>
      </c>
      <c r="O187" s="323" t="s">
        <v>1687</v>
      </c>
      <c r="P187" s="308"/>
      <c r="Q187" s="309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306" t="s">
        <v>1686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306" t="s">
        <v>1686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306" t="s">
        <v>1686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282"/>
      <c r="B188" s="282"/>
      <c r="C188" s="282"/>
      <c r="D188" s="298">
        <f>IF(ISNUMBER(SEARCH(ZAKL_DATA!$B$14,E188)),MAX($D$2:D187)+1,0)</f>
        <v>186</v>
      </c>
      <c r="E188" s="312" t="s">
        <v>1688</v>
      </c>
      <c r="F188" s="313">
        <v>3215</v>
      </c>
      <c r="G188" s="314"/>
      <c r="H188" s="315" t="str">
        <f>IFERROR(VLOOKUP(ROWS($H$3:H188),$D$3:$E$204,2,0),"")</f>
        <v>NOVÝ JIČÍN</v>
      </c>
      <c r="I188" s="282"/>
      <c r="J188" s="317" t="s">
        <v>1689</v>
      </c>
      <c r="K188" s="304" t="s">
        <v>1690</v>
      </c>
      <c r="M188" s="305">
        <f>IF(ISNUMBER(SEARCH(ZAKL_DATA!$B$29,N188)),MAX($M$2:M187)+1,0)</f>
        <v>186</v>
      </c>
      <c r="N188" s="306" t="s">
        <v>1691</v>
      </c>
      <c r="O188" s="307" t="s">
        <v>1692</v>
      </c>
      <c r="P188" s="308"/>
      <c r="Q188" s="309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306" t="s">
        <v>1691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306" t="s">
        <v>1691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306" t="s">
        <v>1691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282"/>
      <c r="B189" s="282"/>
      <c r="C189" s="282"/>
      <c r="D189" s="298">
        <f>IF(ISNUMBER(SEARCH(ZAKL_DATA!$B$14,E189)),MAX($D$2:D188)+1,0)</f>
        <v>187</v>
      </c>
      <c r="E189" s="312" t="s">
        <v>1693</v>
      </c>
      <c r="F189" s="313">
        <v>3216</v>
      </c>
      <c r="G189" s="314"/>
      <c r="H189" s="315" t="str">
        <f>IFERROR(VLOOKUP(ROWS($H$3:H189),$D$3:$E$204,2,0),"")</f>
        <v>OPAVA</v>
      </c>
      <c r="I189" s="282"/>
      <c r="J189" s="317" t="s">
        <v>1694</v>
      </c>
      <c r="K189" s="304" t="s">
        <v>1695</v>
      </c>
      <c r="M189" s="305">
        <f>IF(ISNUMBER(SEARCH(ZAKL_DATA!$B$29,N189)),MAX($M$2:M188)+1,0)</f>
        <v>187</v>
      </c>
      <c r="N189" s="306" t="s">
        <v>1696</v>
      </c>
      <c r="O189" s="323" t="s">
        <v>1697</v>
      </c>
      <c r="P189" s="308"/>
      <c r="Q189" s="309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306" t="s">
        <v>1696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306" t="s">
        <v>1696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306" t="s">
        <v>1696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282"/>
      <c r="B190" s="282"/>
      <c r="C190" s="282"/>
      <c r="D190" s="298">
        <f>IF(ISNUMBER(SEARCH(ZAKL_DATA!$B$14,E190)),MAX($D$2:D189)+1,0)</f>
        <v>188</v>
      </c>
      <c r="E190" s="312" t="s">
        <v>1698</v>
      </c>
      <c r="F190" s="313">
        <v>3217</v>
      </c>
      <c r="G190" s="314"/>
      <c r="H190" s="315" t="str">
        <f>IFERROR(VLOOKUP(ROWS($H$3:H190),$D$3:$E$204,2,0),"")</f>
        <v>ORLOVÁ</v>
      </c>
      <c r="I190" s="282"/>
      <c r="J190" s="317" t="s">
        <v>1699</v>
      </c>
      <c r="K190" s="304" t="s">
        <v>1700</v>
      </c>
      <c r="M190" s="305">
        <f>IF(ISNUMBER(SEARCH(ZAKL_DATA!$B$29,N190)),MAX($M$2:M189)+1,0)</f>
        <v>188</v>
      </c>
      <c r="N190" s="306" t="s">
        <v>1701</v>
      </c>
      <c r="O190" s="307" t="s">
        <v>1702</v>
      </c>
      <c r="P190" s="308"/>
      <c r="Q190" s="309" t="str">
        <f>IFERROR(VLOOKUP(ROWS($Q$3:Q190),$M$3:$N$992,2,0),"")</f>
        <v>Slévárenství</v>
      </c>
      <c r="R190">
        <f>IF(ISNUMBER(SEARCH('1Př1'!$A$32,N190)),MAX($M$2:M189)+1,0)</f>
        <v>188</v>
      </c>
      <c r="S190" s="306" t="s">
        <v>1701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306" t="s">
        <v>1701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306" t="s">
        <v>1701</v>
      </c>
      <c r="Z190" t="str">
        <f>IFERROR(VLOOKUP(ROWS($Z$3:Z190),$X$3:$Y$992,2,0),"")</f>
        <v>Slévárenství</v>
      </c>
    </row>
    <row r="191" spans="1:26" ht="12.75" customHeight="1">
      <c r="A191" s="282"/>
      <c r="B191" s="282"/>
      <c r="C191" s="282"/>
      <c r="D191" s="298">
        <f>IF(ISNUMBER(SEARCH(ZAKL_DATA!$B$14,E191)),MAX($D$2:D190)+1,0)</f>
        <v>189</v>
      </c>
      <c r="E191" s="312" t="s">
        <v>1703</v>
      </c>
      <c r="F191" s="313">
        <v>3218</v>
      </c>
      <c r="G191" s="314"/>
      <c r="H191" s="315" t="str">
        <f>IFERROR(VLOOKUP(ROWS($H$3:H191),$D$3:$E$204,2,0),"")</f>
        <v>TŘINEC</v>
      </c>
      <c r="I191" s="282"/>
      <c r="J191" s="317" t="s">
        <v>1704</v>
      </c>
      <c r="K191" s="304" t="s">
        <v>1705</v>
      </c>
      <c r="M191" s="305">
        <f>IF(ISNUMBER(SEARCH(ZAKL_DATA!$B$29,N191)),MAX($M$2:M190)+1,0)</f>
        <v>189</v>
      </c>
      <c r="N191" s="306" t="s">
        <v>1706</v>
      </c>
      <c r="O191" s="323" t="s">
        <v>1707</v>
      </c>
      <c r="P191" s="308"/>
      <c r="Q191" s="309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306" t="s">
        <v>1706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306" t="s">
        <v>1706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306" t="s">
        <v>1706</v>
      </c>
      <c r="Z191" t="str">
        <f>IFERROR(VLOOKUP(ROWS($Z$3:Z191),$X$3:$Y$992,2,0),"")</f>
        <v>Výroba konstrukčních kovových výrobků</v>
      </c>
    </row>
    <row r="192" spans="1:26" ht="12.75" customHeight="1">
      <c r="A192" s="282"/>
      <c r="B192" s="282"/>
      <c r="C192" s="282"/>
      <c r="D192" s="298">
        <f>IF(ISNUMBER(SEARCH(ZAKL_DATA!$B$14,E192)),MAX($D$2:D191)+1,0)</f>
        <v>190</v>
      </c>
      <c r="E192" s="312" t="s">
        <v>1708</v>
      </c>
      <c r="F192" s="313">
        <v>3301</v>
      </c>
      <c r="G192" s="314"/>
      <c r="H192" s="315" t="str">
        <f>IFERROR(VLOOKUP(ROWS($H$3:H192),$D$3:$E$204,2,0),"")</f>
        <v>ZLÍN</v>
      </c>
      <c r="I192" s="282"/>
      <c r="J192" s="317" t="s">
        <v>1709</v>
      </c>
      <c r="K192" s="304" t="s">
        <v>1710</v>
      </c>
      <c r="M192" s="305">
        <f>IF(ISNUMBER(SEARCH(ZAKL_DATA!$B$29,N192)),MAX($M$2:M191)+1,0)</f>
        <v>190</v>
      </c>
      <c r="N192" s="306" t="s">
        <v>1711</v>
      </c>
      <c r="O192" s="323" t="s">
        <v>1712</v>
      </c>
      <c r="P192" s="308"/>
      <c r="Q192" s="309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306" t="s">
        <v>1711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306" t="s">
        <v>1711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306" t="s">
        <v>1711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282"/>
      <c r="B193" s="282"/>
      <c r="C193" s="282"/>
      <c r="D193" s="298">
        <f>IF(ISNUMBER(SEARCH(ZAKL_DATA!$B$14,E193)),MAX($D$2:D192)+1,0)</f>
        <v>191</v>
      </c>
      <c r="E193" s="312" t="s">
        <v>1713</v>
      </c>
      <c r="F193" s="313">
        <v>3302</v>
      </c>
      <c r="G193" s="314"/>
      <c r="H193" s="315" t="str">
        <f>IFERROR(VLOOKUP(ROWS($H$3:H193),$D$3:$E$204,2,0),"")</f>
        <v>BYSTŘICE POD HOSTÝNEM</v>
      </c>
      <c r="I193" s="282"/>
      <c r="J193" s="317" t="s">
        <v>1714</v>
      </c>
      <c r="K193" s="304" t="s">
        <v>1715</v>
      </c>
      <c r="M193" s="305">
        <f>IF(ISNUMBER(SEARCH(ZAKL_DATA!$B$29,N193)),MAX($M$2:M192)+1,0)</f>
        <v>191</v>
      </c>
      <c r="N193" s="306" t="s">
        <v>1716</v>
      </c>
      <c r="O193" s="323" t="s">
        <v>1717</v>
      </c>
      <c r="P193" s="308"/>
      <c r="Q193" s="309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306" t="s">
        <v>1716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306" t="s">
        <v>1716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306" t="s">
        <v>1716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282"/>
      <c r="B194" s="282"/>
      <c r="C194" s="282"/>
      <c r="D194" s="298">
        <f>IF(ISNUMBER(SEARCH(ZAKL_DATA!$B$14,E194)),MAX($D$2:D193)+1,0)</f>
        <v>192</v>
      </c>
      <c r="E194" s="312" t="s">
        <v>1718</v>
      </c>
      <c r="F194" s="313">
        <v>3303</v>
      </c>
      <c r="G194" s="314"/>
      <c r="H194" s="315" t="str">
        <f>IFERROR(VLOOKUP(ROWS($H$3:H194),$D$3:$E$204,2,0),"")</f>
        <v>HOLEŠOV</v>
      </c>
      <c r="I194" s="282"/>
      <c r="J194" s="317" t="s">
        <v>1719</v>
      </c>
      <c r="K194" s="304" t="s">
        <v>1720</v>
      </c>
      <c r="M194" s="305">
        <f>IF(ISNUMBER(SEARCH(ZAKL_DATA!$B$29,N194)),MAX($M$2:M193)+1,0)</f>
        <v>192</v>
      </c>
      <c r="N194" s="306" t="s">
        <v>1721</v>
      </c>
      <c r="O194" s="323" t="s">
        <v>1722</v>
      </c>
      <c r="P194" s="308"/>
      <c r="Q194" s="309" t="str">
        <f>IFERROR(VLOOKUP(ROWS($Q$3:Q194),$M$3:$N$992,2,0),"")</f>
        <v>Výroba zbraní a střeliva</v>
      </c>
      <c r="R194">
        <f>IF(ISNUMBER(SEARCH('1Př1'!$A$32,N194)),MAX($M$2:M193)+1,0)</f>
        <v>192</v>
      </c>
      <c r="S194" s="306" t="s">
        <v>1721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306" t="s">
        <v>1721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306" t="s">
        <v>1721</v>
      </c>
      <c r="Z194" t="str">
        <f>IFERROR(VLOOKUP(ROWS($Z$3:Z194),$X$3:$Y$992,2,0),"")</f>
        <v>Výroba zbraní a střeliva</v>
      </c>
    </row>
    <row r="195" spans="1:26" ht="12.75" customHeight="1">
      <c r="A195" s="282"/>
      <c r="B195" s="282"/>
      <c r="C195" s="282"/>
      <c r="D195" s="298">
        <f>IF(ISNUMBER(SEARCH(ZAKL_DATA!$B$14,E195)),MAX($D$2:D194)+1,0)</f>
        <v>193</v>
      </c>
      <c r="E195" s="312" t="s">
        <v>1723</v>
      </c>
      <c r="F195" s="313">
        <v>3304</v>
      </c>
      <c r="G195" s="314"/>
      <c r="H195" s="315" t="str">
        <f>IFERROR(VLOOKUP(ROWS($H$3:H195),$D$3:$E$204,2,0),"")</f>
        <v>KROMĚŘÍŽ</v>
      </c>
      <c r="I195" s="282"/>
      <c r="J195" s="317" t="s">
        <v>1724</v>
      </c>
      <c r="K195" s="304" t="s">
        <v>1725</v>
      </c>
      <c r="M195" s="305">
        <f>IF(ISNUMBER(SEARCH(ZAKL_DATA!$B$29,N195)),MAX($M$2:M194)+1,0)</f>
        <v>193</v>
      </c>
      <c r="N195" s="306" t="s">
        <v>1726</v>
      </c>
      <c r="O195" s="307" t="s">
        <v>1727</v>
      </c>
      <c r="P195" s="308"/>
      <c r="Q195" s="309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306" t="s">
        <v>1726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306" t="s">
        <v>1726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306" t="s">
        <v>1726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282"/>
      <c r="B196" s="282"/>
      <c r="C196" s="282"/>
      <c r="D196" s="298">
        <f>IF(ISNUMBER(SEARCH(ZAKL_DATA!$B$14,E196)),MAX($D$2:D195)+1,0)</f>
        <v>194</v>
      </c>
      <c r="E196" s="312" t="s">
        <v>1728</v>
      </c>
      <c r="F196" s="313">
        <v>3305</v>
      </c>
      <c r="G196" s="314"/>
      <c r="H196" s="315" t="str">
        <f>IFERROR(VLOOKUP(ROWS($H$3:H196),$D$3:$E$204,2,0),"")</f>
        <v>LUHAČOVICE</v>
      </c>
      <c r="I196" s="282"/>
      <c r="J196" s="317" t="s">
        <v>1729</v>
      </c>
      <c r="K196" s="304" t="s">
        <v>1730</v>
      </c>
      <c r="M196" s="305">
        <f>IF(ISNUMBER(SEARCH(ZAKL_DATA!$B$29,N196)),MAX($M$2:M195)+1,0)</f>
        <v>194</v>
      </c>
      <c r="N196" s="306" t="s">
        <v>1731</v>
      </c>
      <c r="O196" s="307" t="s">
        <v>1732</v>
      </c>
      <c r="P196" s="308"/>
      <c r="Q196" s="309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306" t="s">
        <v>1731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306" t="s">
        <v>1731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306" t="s">
        <v>1731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282"/>
      <c r="B197" s="282"/>
      <c r="C197" s="282"/>
      <c r="D197" s="298">
        <f>IF(ISNUMBER(SEARCH(ZAKL_DATA!$B$14,E197)),MAX($D$2:D196)+1,0)</f>
        <v>195</v>
      </c>
      <c r="E197" s="312" t="s">
        <v>1733</v>
      </c>
      <c r="F197" s="313">
        <v>3306</v>
      </c>
      <c r="G197" s="314"/>
      <c r="H197" s="315" t="str">
        <f>IFERROR(VLOOKUP(ROWS($H$3:H197),$D$3:$E$204,2,0),"")</f>
        <v>OTROKOVICE</v>
      </c>
      <c r="I197" s="282"/>
      <c r="J197" s="317" t="s">
        <v>1734</v>
      </c>
      <c r="K197" s="304" t="s">
        <v>1735</v>
      </c>
      <c r="M197" s="305">
        <f>IF(ISNUMBER(SEARCH(ZAKL_DATA!$B$29,N197)),MAX($M$2:M196)+1,0)</f>
        <v>195</v>
      </c>
      <c r="N197" s="306" t="s">
        <v>1736</v>
      </c>
      <c r="O197" s="307" t="s">
        <v>1737</v>
      </c>
      <c r="P197" s="308"/>
      <c r="Q197" s="309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306" t="s">
        <v>1736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306" t="s">
        <v>1736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306" t="s">
        <v>1736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282"/>
      <c r="B198" s="282"/>
      <c r="C198" s="282"/>
      <c r="D198" s="298">
        <f>IF(ISNUMBER(SEARCH(ZAKL_DATA!$B$14,E198)),MAX($D$2:D197)+1,0)</f>
        <v>196</v>
      </c>
      <c r="E198" s="312" t="s">
        <v>1738</v>
      </c>
      <c r="F198" s="313">
        <v>3307</v>
      </c>
      <c r="G198" s="314"/>
      <c r="H198" s="315" t="str">
        <f>IFERROR(VLOOKUP(ROWS($H$3:H198),$D$3:$E$204,2,0),"")</f>
        <v>ROŽNOV POD RADH.</v>
      </c>
      <c r="I198" s="282"/>
      <c r="J198" s="317" t="s">
        <v>1739</v>
      </c>
      <c r="K198" s="304" t="s">
        <v>1740</v>
      </c>
      <c r="M198" s="305">
        <f>IF(ISNUMBER(SEARCH(ZAKL_DATA!$B$29,N198)),MAX($M$2:M197)+1,0)</f>
        <v>196</v>
      </c>
      <c r="N198" s="306" t="s">
        <v>1741</v>
      </c>
      <c r="O198" s="307" t="s">
        <v>1742</v>
      </c>
      <c r="P198" s="308"/>
      <c r="Q198" s="309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306" t="s">
        <v>1741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306" t="s">
        <v>1741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306" t="s">
        <v>1741</v>
      </c>
      <c r="Z198" t="str">
        <f>IFERROR(VLOOKUP(ROWS($Z$3:Z198),$X$3:$Y$992,2,0),"")</f>
        <v>Výroba ostatních kovodělných výrobků</v>
      </c>
    </row>
    <row r="199" spans="1:26" ht="12.75" customHeight="1">
      <c r="A199" s="282"/>
      <c r="B199" s="282"/>
      <c r="C199" s="282"/>
      <c r="D199" s="298">
        <f>IF(ISNUMBER(SEARCH(ZAKL_DATA!$B$14,E199)),MAX($D$2:D198)+1,0)</f>
        <v>197</v>
      </c>
      <c r="E199" s="312" t="s">
        <v>1743</v>
      </c>
      <c r="F199" s="313">
        <v>3308</v>
      </c>
      <c r="G199" s="314"/>
      <c r="H199" s="315" t="str">
        <f>IFERROR(VLOOKUP(ROWS($H$3:H199),$D$3:$E$204,2,0),"")</f>
        <v>UHERSKÝ BROD</v>
      </c>
      <c r="I199" s="282"/>
      <c r="J199" s="317" t="s">
        <v>1744</v>
      </c>
      <c r="K199" s="304" t="s">
        <v>1745</v>
      </c>
      <c r="M199" s="305">
        <f>IF(ISNUMBER(SEARCH(ZAKL_DATA!$B$29,N199)),MAX($M$2:M198)+1,0)</f>
        <v>197</v>
      </c>
      <c r="N199" s="306" t="s">
        <v>1746</v>
      </c>
      <c r="O199" s="307" t="s">
        <v>1747</v>
      </c>
      <c r="P199" s="308"/>
      <c r="Q199" s="309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306" t="s">
        <v>1746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306" t="s">
        <v>1746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306" t="s">
        <v>1746</v>
      </c>
      <c r="Z199" t="str">
        <f>IFERROR(VLOOKUP(ROWS($Z$3:Z199),$X$3:$Y$992,2,0),"")</f>
        <v>Výroba elektronických součástek a desek</v>
      </c>
    </row>
    <row r="200" spans="1:26" ht="12.75" customHeight="1">
      <c r="A200" s="282"/>
      <c r="B200" s="282"/>
      <c r="C200" s="282"/>
      <c r="D200" s="298">
        <f>IF(ISNUMBER(SEARCH(ZAKL_DATA!$B$14,E200)),MAX($D$2:D199)+1,0)</f>
        <v>198</v>
      </c>
      <c r="E200" s="312" t="s">
        <v>1748</v>
      </c>
      <c r="F200" s="313">
        <v>3309</v>
      </c>
      <c r="G200" s="314"/>
      <c r="H200" s="315" t="str">
        <f>IFERROR(VLOOKUP(ROWS($H$3:H200),$D$3:$E$204,2,0),"")</f>
        <v>UHERSKÉ HRADIŠTĚ</v>
      </c>
      <c r="I200" s="282"/>
      <c r="J200" s="317" t="s">
        <v>1749</v>
      </c>
      <c r="K200" s="304" t="s">
        <v>1750</v>
      </c>
      <c r="M200" s="305">
        <f>IF(ISNUMBER(SEARCH(ZAKL_DATA!$B$29,N200)),MAX($M$2:M199)+1,0)</f>
        <v>198</v>
      </c>
      <c r="N200" s="306" t="s">
        <v>1751</v>
      </c>
      <c r="O200" s="307" t="s">
        <v>1752</v>
      </c>
      <c r="P200" s="308"/>
      <c r="Q200" s="309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306" t="s">
        <v>1751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306" t="s">
        <v>1751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306" t="s">
        <v>1751</v>
      </c>
      <c r="Z200" t="str">
        <f>IFERROR(VLOOKUP(ROWS($Z$3:Z200),$X$3:$Y$992,2,0),"")</f>
        <v>Výroba počítačů a periferních zařízení</v>
      </c>
    </row>
    <row r="201" spans="1:26" ht="12.75" customHeight="1">
      <c r="A201" s="282"/>
      <c r="B201" s="282"/>
      <c r="C201" s="282"/>
      <c r="D201" s="298">
        <f>IF(ISNUMBER(SEARCH(ZAKL_DATA!$B$14,E201)),MAX($D$2:D200)+1,0)</f>
        <v>199</v>
      </c>
      <c r="E201" s="312" t="s">
        <v>1753</v>
      </c>
      <c r="F201" s="313">
        <v>3310</v>
      </c>
      <c r="G201" s="314"/>
      <c r="H201" s="315" t="str">
        <f>IFERROR(VLOOKUP(ROWS($H$3:H201),$D$3:$E$204,2,0),"")</f>
        <v>VALAŠSKÉ MEZIŘÍČÍ</v>
      </c>
      <c r="I201" s="282"/>
      <c r="J201" s="317" t="s">
        <v>1754</v>
      </c>
      <c r="K201" s="304" t="s">
        <v>1755</v>
      </c>
      <c r="M201" s="305">
        <f>IF(ISNUMBER(SEARCH(ZAKL_DATA!$B$29,N201)),MAX($M$2:M200)+1,0)</f>
        <v>199</v>
      </c>
      <c r="N201" s="306" t="s">
        <v>1756</v>
      </c>
      <c r="O201" s="323" t="s">
        <v>1757</v>
      </c>
      <c r="P201" s="308"/>
      <c r="Q201" s="309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306" t="s">
        <v>1756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306" t="s">
        <v>1756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306" t="s">
        <v>1756</v>
      </c>
      <c r="Z201" t="str">
        <f>IFERROR(VLOOKUP(ROWS($Z$3:Z201),$X$3:$Y$992,2,0),"")</f>
        <v>Výroba komunikačních zařízení</v>
      </c>
    </row>
    <row r="202" spans="1:26" ht="12.75" customHeight="1">
      <c r="A202" s="282"/>
      <c r="B202" s="282"/>
      <c r="C202" s="282"/>
      <c r="D202" s="298">
        <f>IF(ISNUMBER(SEARCH(ZAKL_DATA!$B$14,E202)),MAX($D$2:D201)+1,0)</f>
        <v>200</v>
      </c>
      <c r="E202" s="312" t="s">
        <v>1758</v>
      </c>
      <c r="F202" s="313">
        <v>3311</v>
      </c>
      <c r="G202" s="314"/>
      <c r="H202" s="315" t="str">
        <f>IFERROR(VLOOKUP(ROWS($H$3:H202),$D$3:$E$204,2,0),"")</f>
        <v>VALAŠSKÉ KLOBOUKY</v>
      </c>
      <c r="I202" s="282"/>
      <c r="J202" s="317" t="s">
        <v>1759</v>
      </c>
      <c r="K202" s="304" t="s">
        <v>1760</v>
      </c>
      <c r="M202" s="305">
        <f>IF(ISNUMBER(SEARCH(ZAKL_DATA!$B$29,N202)),MAX($M$2:M201)+1,0)</f>
        <v>200</v>
      </c>
      <c r="N202" s="306" t="s">
        <v>1761</v>
      </c>
      <c r="O202" s="307" t="s">
        <v>1762</v>
      </c>
      <c r="P202" s="308"/>
      <c r="Q202" s="309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306" t="s">
        <v>1761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306" t="s">
        <v>1761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306" t="s">
        <v>1761</v>
      </c>
      <c r="Z202" t="str">
        <f>IFERROR(VLOOKUP(ROWS($Z$3:Z202),$X$3:$Y$992,2,0),"")</f>
        <v>Výroba spotřební elektroniky</v>
      </c>
    </row>
    <row r="203" spans="1:26" ht="12.75" customHeight="1">
      <c r="A203" s="282"/>
      <c r="B203" s="282"/>
      <c r="C203" s="282"/>
      <c r="D203" s="298">
        <f>IF(ISNUMBER(SEARCH(ZAKL_DATA!$B$14,E203)),MAX($D$2:D202)+1,0)</f>
        <v>201</v>
      </c>
      <c r="E203" s="312" t="s">
        <v>1763</v>
      </c>
      <c r="F203" s="313">
        <v>3312</v>
      </c>
      <c r="G203" s="314"/>
      <c r="H203" s="315" t="str">
        <f>IFERROR(VLOOKUP(ROWS($H$3:H203),$D$3:$E$204,2,0),"")</f>
        <v>VSETÍN</v>
      </c>
      <c r="I203" s="282"/>
      <c r="J203" s="317" t="s">
        <v>1764</v>
      </c>
      <c r="K203" s="304" t="s">
        <v>1765</v>
      </c>
      <c r="M203" s="305">
        <f>IF(ISNUMBER(SEARCH(ZAKL_DATA!$B$29,N203)),MAX($M$2:M202)+1,0)</f>
        <v>201</v>
      </c>
      <c r="N203" s="306" t="s">
        <v>1766</v>
      </c>
      <c r="O203" s="307" t="s">
        <v>1767</v>
      </c>
      <c r="P203" s="308"/>
      <c r="Q203" s="309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306" t="s">
        <v>1766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306" t="s">
        <v>1766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306" t="s">
        <v>1766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282"/>
      <c r="B204" s="282"/>
      <c r="C204" s="282"/>
      <c r="D204" s="298">
        <f>IF(ISNUMBER(SEARCH(ZAKL_DATA!$B$14,E204)),MAX($D$2:D203)+1,0)</f>
        <v>202</v>
      </c>
      <c r="E204" s="326" t="s">
        <v>835</v>
      </c>
      <c r="F204" s="327">
        <v>4000</v>
      </c>
      <c r="G204" s="328"/>
      <c r="H204" s="329" t="str">
        <f>IFERROR(VLOOKUP(ROWS($H$3:H204),$D$3:$E$204,2,0),"")</f>
        <v>SPECIALIZOVANÝ</v>
      </c>
      <c r="I204" s="282"/>
      <c r="J204" s="317" t="s">
        <v>1768</v>
      </c>
      <c r="K204" s="304" t="s">
        <v>1769</v>
      </c>
      <c r="M204" s="305">
        <f>IF(ISNUMBER(SEARCH(ZAKL_DATA!$B$29,N204)),MAX($M$2:M203)+1,0)</f>
        <v>202</v>
      </c>
      <c r="N204" s="306" t="s">
        <v>1770</v>
      </c>
      <c r="O204" s="307" t="s">
        <v>1771</v>
      </c>
      <c r="P204" s="308"/>
      <c r="Q204" s="309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306" t="s">
        <v>1770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306" t="s">
        <v>1770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306" t="s">
        <v>1770</v>
      </c>
      <c r="Z204" t="str">
        <f>IFERROR(VLOOKUP(ROWS($Z$3:Z204),$X$3:$Y$992,2,0),"")</f>
        <v>Výroba ozařovacích, elektroléčebných a elektroterapeutických přístrojů</v>
      </c>
    </row>
    <row r="205" spans="1:26">
      <c r="A205" s="282"/>
      <c r="B205" s="282"/>
      <c r="C205" s="282"/>
      <c r="D205" s="283"/>
      <c r="E205" s="282"/>
      <c r="F205" s="282"/>
      <c r="G205" s="282"/>
      <c r="H205" s="282" t="str">
        <f>IFERROR(VLOOKUP(ROWS($H$3:H205),$D$2:$E$204,2,0),"")</f>
        <v/>
      </c>
      <c r="I205" s="282"/>
      <c r="J205" s="317" t="s">
        <v>1772</v>
      </c>
      <c r="K205" s="304" t="s">
        <v>1773</v>
      </c>
      <c r="M205" s="305">
        <f>IF(ISNUMBER(SEARCH(ZAKL_DATA!$B$29,N205)),MAX($M$2:M204)+1,0)</f>
        <v>203</v>
      </c>
      <c r="N205" s="306" t="s">
        <v>1774</v>
      </c>
      <c r="O205" s="307" t="s">
        <v>1775</v>
      </c>
      <c r="P205" s="308"/>
      <c r="Q205" s="309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306" t="s">
        <v>1774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306" t="s">
        <v>1774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306" t="s">
        <v>1774</v>
      </c>
      <c r="Z205" t="str">
        <f>IFERROR(VLOOKUP(ROWS($Z$3:Z205),$X$3:$Y$992,2,0),"")</f>
        <v>Výroba optických a fotografických přístrojů a zařízení</v>
      </c>
    </row>
    <row r="206" spans="1:26">
      <c r="J206" s="317" t="s">
        <v>1776</v>
      </c>
      <c r="K206" s="304" t="s">
        <v>1777</v>
      </c>
      <c r="M206" s="305">
        <f>IF(ISNUMBER(SEARCH(ZAKL_DATA!$B$29,N206)),MAX($M$2:M205)+1,0)</f>
        <v>204</v>
      </c>
      <c r="N206" s="306" t="s">
        <v>1778</v>
      </c>
      <c r="O206" s="307" t="s">
        <v>1779</v>
      </c>
      <c r="P206" s="308"/>
      <c r="Q206" s="309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306" t="s">
        <v>1778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306" t="s">
        <v>1778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306" t="s">
        <v>1778</v>
      </c>
      <c r="Z206" t="str">
        <f>IFERROR(VLOOKUP(ROWS($Z$3:Z206),$X$3:$Y$992,2,0),"")</f>
        <v>Výroba magnetických a optických médií</v>
      </c>
    </row>
    <row r="207" spans="1:26">
      <c r="J207" s="317" t="s">
        <v>1780</v>
      </c>
      <c r="K207" s="304" t="s">
        <v>1781</v>
      </c>
      <c r="M207" s="305">
        <f>IF(ISNUMBER(SEARCH(ZAKL_DATA!$B$29,N207)),MAX($M$2:M206)+1,0)</f>
        <v>205</v>
      </c>
      <c r="N207" s="306" t="s">
        <v>1782</v>
      </c>
      <c r="O207" s="307" t="s">
        <v>1783</v>
      </c>
      <c r="P207" s="308"/>
      <c r="Q207" s="309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306" t="s">
        <v>1782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306" t="s">
        <v>1782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306" t="s">
        <v>1782</v>
      </c>
      <c r="Z207" t="str">
        <f>IFERROR(VLOOKUP(ROWS($Z$3:Z207),$X$3:$Y$992,2,0),"")</f>
        <v>Výroba elektr.motorů,generátorů,transformátorů a elektr.rozvod.a kontrol.z.</v>
      </c>
    </row>
    <row r="208" spans="1:26">
      <c r="J208" s="317" t="s">
        <v>1784</v>
      </c>
      <c r="K208" s="304" t="s">
        <v>1785</v>
      </c>
      <c r="M208" s="305">
        <f>IF(ISNUMBER(SEARCH(ZAKL_DATA!$B$29,N208)),MAX($M$2:M207)+1,0)</f>
        <v>206</v>
      </c>
      <c r="N208" s="306" t="s">
        <v>1786</v>
      </c>
      <c r="O208" s="323" t="s">
        <v>1787</v>
      </c>
      <c r="P208" s="308"/>
      <c r="Q208" s="309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306" t="s">
        <v>1786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306" t="s">
        <v>1786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306" t="s">
        <v>1786</v>
      </c>
      <c r="Z208" t="str">
        <f>IFERROR(VLOOKUP(ROWS($Z$3:Z208),$X$3:$Y$992,2,0),"")</f>
        <v>Výroba baterií a akumulátorů</v>
      </c>
    </row>
    <row r="209" spans="10:26">
      <c r="J209" s="317" t="s">
        <v>1788</v>
      </c>
      <c r="K209" s="304" t="s">
        <v>1789</v>
      </c>
      <c r="M209" s="305">
        <f>IF(ISNUMBER(SEARCH(ZAKL_DATA!$B$29,N209)),MAX($M$2:M208)+1,0)</f>
        <v>207</v>
      </c>
      <c r="N209" s="306" t="s">
        <v>1790</v>
      </c>
      <c r="O209" s="307" t="s">
        <v>1791</v>
      </c>
      <c r="P209" s="308"/>
      <c r="Q209" s="309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306" t="s">
        <v>1790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306" t="s">
        <v>1790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306" t="s">
        <v>1790</v>
      </c>
      <c r="Z209" t="str">
        <f>IFERROR(VLOOKUP(ROWS($Z$3:Z209),$X$3:$Y$992,2,0),"")</f>
        <v>Výroba optických a elektr.kabelů,elektr.vodičů a elektroinstal.zařízení</v>
      </c>
    </row>
    <row r="210" spans="10:26">
      <c r="J210" s="317" t="s">
        <v>1792</v>
      </c>
      <c r="K210" s="304" t="s">
        <v>1793</v>
      </c>
      <c r="M210" s="305">
        <f>IF(ISNUMBER(SEARCH(ZAKL_DATA!$B$29,N210)),MAX($M$2:M209)+1,0)</f>
        <v>208</v>
      </c>
      <c r="N210" s="306" t="s">
        <v>1794</v>
      </c>
      <c r="O210" s="307" t="s">
        <v>1795</v>
      </c>
      <c r="P210" s="308"/>
      <c r="Q210" s="309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306" t="s">
        <v>1794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306" t="s">
        <v>1794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306" t="s">
        <v>1794</v>
      </c>
      <c r="Z210" t="str">
        <f>IFERROR(VLOOKUP(ROWS($Z$3:Z210),$X$3:$Y$992,2,0),"")</f>
        <v>Výroba elektrických osvětlovacích zařízení</v>
      </c>
    </row>
    <row r="211" spans="10:26">
      <c r="J211" s="317" t="s">
        <v>1796</v>
      </c>
      <c r="K211" s="304" t="s">
        <v>1797</v>
      </c>
      <c r="M211" s="305">
        <f>IF(ISNUMBER(SEARCH(ZAKL_DATA!$B$29,N211)),MAX($M$2:M210)+1,0)</f>
        <v>209</v>
      </c>
      <c r="N211" s="306" t="s">
        <v>1798</v>
      </c>
      <c r="O211" s="323" t="s">
        <v>1799</v>
      </c>
      <c r="P211" s="308"/>
      <c r="Q211" s="309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306" t="s">
        <v>1798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306" t="s">
        <v>1798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306" t="s">
        <v>1798</v>
      </c>
      <c r="Z211" t="str">
        <f>IFERROR(VLOOKUP(ROWS($Z$3:Z211),$X$3:$Y$992,2,0),"")</f>
        <v>Výroba spotřebičů převážně pro domácnost</v>
      </c>
    </row>
    <row r="212" spans="10:26">
      <c r="J212" s="316" t="s">
        <v>1800</v>
      </c>
      <c r="K212" s="304" t="s">
        <v>1801</v>
      </c>
      <c r="M212" s="305">
        <f>IF(ISNUMBER(SEARCH(ZAKL_DATA!$B$29,N212)),MAX($M$2:M211)+1,0)</f>
        <v>210</v>
      </c>
      <c r="N212" s="306" t="s">
        <v>1802</v>
      </c>
      <c r="O212" s="307" t="s">
        <v>1803</v>
      </c>
      <c r="P212" s="308"/>
      <c r="Q212" s="309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306" t="s">
        <v>1802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306" t="s">
        <v>1802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306" t="s">
        <v>1802</v>
      </c>
      <c r="Z212" t="str">
        <f>IFERROR(VLOOKUP(ROWS($Z$3:Z212),$X$3:$Y$992,2,0),"")</f>
        <v>Výroba ostatních elektrických zařízení</v>
      </c>
    </row>
    <row r="213" spans="10:26">
      <c r="J213" s="317" t="s">
        <v>1804</v>
      </c>
      <c r="K213" s="304" t="s">
        <v>1805</v>
      </c>
      <c r="M213" s="305">
        <f>IF(ISNUMBER(SEARCH(ZAKL_DATA!$B$29,N213)),MAX($M$2:M212)+1,0)</f>
        <v>211</v>
      </c>
      <c r="N213" s="306" t="s">
        <v>1806</v>
      </c>
      <c r="O213" s="307" t="s">
        <v>1807</v>
      </c>
      <c r="P213" s="308"/>
      <c r="Q213" s="309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306" t="s">
        <v>1806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306" t="s">
        <v>1806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306" t="s">
        <v>1806</v>
      </c>
      <c r="Z213" t="str">
        <f>IFERROR(VLOOKUP(ROWS($Z$3:Z213),$X$3:$Y$992,2,0),"")</f>
        <v>Výroba strojů a zařízení pro všeobecné účely</v>
      </c>
    </row>
    <row r="214" spans="10:26">
      <c r="J214" s="316" t="s">
        <v>1808</v>
      </c>
      <c r="K214" s="304" t="s">
        <v>1809</v>
      </c>
      <c r="M214" s="305">
        <f>IF(ISNUMBER(SEARCH(ZAKL_DATA!$B$29,N214)),MAX($M$2:M213)+1,0)</f>
        <v>212</v>
      </c>
      <c r="N214" s="306" t="s">
        <v>1810</v>
      </c>
      <c r="O214" s="323" t="s">
        <v>1811</v>
      </c>
      <c r="P214" s="308"/>
      <c r="Q214" s="309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306" t="s">
        <v>1810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306" t="s">
        <v>1810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306" t="s">
        <v>1810</v>
      </c>
      <c r="Z214" t="str">
        <f>IFERROR(VLOOKUP(ROWS($Z$3:Z214),$X$3:$Y$992,2,0),"")</f>
        <v>Výroba ostatních strojů a zařízení pro všeobecné účely</v>
      </c>
    </row>
    <row r="215" spans="10:26">
      <c r="J215" s="316" t="s">
        <v>1812</v>
      </c>
      <c r="K215" s="304" t="s">
        <v>1813</v>
      </c>
      <c r="M215" s="305">
        <f>IF(ISNUMBER(SEARCH(ZAKL_DATA!$B$29,N215)),MAX($M$2:M214)+1,0)</f>
        <v>213</v>
      </c>
      <c r="N215" s="306" t="s">
        <v>1814</v>
      </c>
      <c r="O215" s="307" t="s">
        <v>1815</v>
      </c>
      <c r="P215" s="308"/>
      <c r="Q215" s="309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306" t="s">
        <v>1814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306" t="s">
        <v>1814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306" t="s">
        <v>1814</v>
      </c>
      <c r="Z215" t="str">
        <f>IFERROR(VLOOKUP(ROWS($Z$3:Z215),$X$3:$Y$992,2,0),"")</f>
        <v>Výroba zemědělských a lesnických strojů</v>
      </c>
    </row>
    <row r="216" spans="10:26">
      <c r="J216" s="317" t="s">
        <v>1816</v>
      </c>
      <c r="K216" s="304" t="s">
        <v>1817</v>
      </c>
      <c r="M216" s="305">
        <f>IF(ISNUMBER(SEARCH(ZAKL_DATA!$B$29,N216)),MAX($M$2:M215)+1,0)</f>
        <v>214</v>
      </c>
      <c r="N216" s="306" t="s">
        <v>1818</v>
      </c>
      <c r="O216" s="307" t="s">
        <v>1819</v>
      </c>
      <c r="P216" s="308"/>
      <c r="Q216" s="309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306" t="s">
        <v>1818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306" t="s">
        <v>1818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306" t="s">
        <v>1818</v>
      </c>
      <c r="Z216" t="str">
        <f>IFERROR(VLOOKUP(ROWS($Z$3:Z216),$X$3:$Y$992,2,0),"")</f>
        <v>Výroba kovoobráběcích a ostatních obráběcích strojů</v>
      </c>
    </row>
    <row r="217" spans="10:26">
      <c r="J217" s="317" t="s">
        <v>1820</v>
      </c>
      <c r="K217" s="304" t="s">
        <v>1821</v>
      </c>
      <c r="M217" s="305">
        <f>IF(ISNUMBER(SEARCH(ZAKL_DATA!$B$29,N217)),MAX($M$2:M216)+1,0)</f>
        <v>215</v>
      </c>
      <c r="N217" s="306" t="s">
        <v>1822</v>
      </c>
      <c r="O217" s="307" t="s">
        <v>1823</v>
      </c>
      <c r="P217" s="308"/>
      <c r="Q217" s="309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306" t="s">
        <v>1822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306" t="s">
        <v>1822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306" t="s">
        <v>1822</v>
      </c>
      <c r="Z217" t="str">
        <f>IFERROR(VLOOKUP(ROWS($Z$3:Z217),$X$3:$Y$992,2,0),"")</f>
        <v>Výroba ostatních strojů pro speciální účely</v>
      </c>
    </row>
    <row r="218" spans="10:26">
      <c r="J218" s="317" t="s">
        <v>1824</v>
      </c>
      <c r="K218" s="304" t="s">
        <v>1825</v>
      </c>
      <c r="M218" s="305">
        <f>IF(ISNUMBER(SEARCH(ZAKL_DATA!$B$29,N218)),MAX($M$2:M217)+1,0)</f>
        <v>216</v>
      </c>
      <c r="N218" s="306" t="s">
        <v>1826</v>
      </c>
      <c r="O218" s="307" t="s">
        <v>1827</v>
      </c>
      <c r="P218" s="308"/>
      <c r="Q218" s="309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306" t="s">
        <v>1826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306" t="s">
        <v>1826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306" t="s">
        <v>1826</v>
      </c>
      <c r="Z218" t="str">
        <f>IFERROR(VLOOKUP(ROWS($Z$3:Z218),$X$3:$Y$992,2,0),"")</f>
        <v>Výroba motorových vozidel a jejich motorů</v>
      </c>
    </row>
    <row r="219" spans="10:26">
      <c r="J219" s="317" t="s">
        <v>1828</v>
      </c>
      <c r="K219" s="304" t="s">
        <v>1829</v>
      </c>
      <c r="M219" s="305">
        <f>IF(ISNUMBER(SEARCH(ZAKL_DATA!$B$29,N219)),MAX($M$2:M218)+1,0)</f>
        <v>217</v>
      </c>
      <c r="N219" s="306" t="s">
        <v>1830</v>
      </c>
      <c r="O219" s="307" t="s">
        <v>1831</v>
      </c>
      <c r="P219" s="308"/>
      <c r="Q219" s="309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306" t="s">
        <v>1830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306" t="s">
        <v>1830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306" t="s">
        <v>1830</v>
      </c>
      <c r="Z219" t="str">
        <f>IFERROR(VLOOKUP(ROWS($Z$3:Z219),$X$3:$Y$992,2,0),"")</f>
        <v>Výroba karoserií motorových vozidel; výroba přívěsů a návěsů</v>
      </c>
    </row>
    <row r="220" spans="10:26">
      <c r="J220" s="317" t="s">
        <v>1832</v>
      </c>
      <c r="K220" s="304" t="s">
        <v>1833</v>
      </c>
      <c r="M220" s="305">
        <f>IF(ISNUMBER(SEARCH(ZAKL_DATA!$B$29,N220)),MAX($M$2:M219)+1,0)</f>
        <v>218</v>
      </c>
      <c r="N220" s="306" t="s">
        <v>1834</v>
      </c>
      <c r="O220" s="307" t="s">
        <v>1835</v>
      </c>
      <c r="P220" s="308"/>
      <c r="Q220" s="309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306" t="s">
        <v>1834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306" t="s">
        <v>1834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306" t="s">
        <v>1834</v>
      </c>
      <c r="Z220" t="str">
        <f>IFERROR(VLOOKUP(ROWS($Z$3:Z220),$X$3:$Y$992,2,0),"")</f>
        <v>Výroba dílů a příslušenství pro motorová vozidla a jejich motory</v>
      </c>
    </row>
    <row r="221" spans="10:26">
      <c r="J221" s="317" t="s">
        <v>1836</v>
      </c>
      <c r="K221" s="304" t="s">
        <v>1837</v>
      </c>
      <c r="M221" s="305">
        <f>IF(ISNUMBER(SEARCH(ZAKL_DATA!$B$29,N221)),MAX($M$2:M220)+1,0)</f>
        <v>219</v>
      </c>
      <c r="N221" s="306" t="s">
        <v>1838</v>
      </c>
      <c r="O221" s="307" t="s">
        <v>1839</v>
      </c>
      <c r="P221" s="308"/>
      <c r="Q221" s="309" t="str">
        <f>IFERROR(VLOOKUP(ROWS($Q$3:Q221),$M$3:$N$992,2,0),"")</f>
        <v>Stavba lodí a člunů</v>
      </c>
      <c r="R221">
        <f>IF(ISNUMBER(SEARCH('1Př1'!$A$32,N221)),MAX($M$2:M220)+1,0)</f>
        <v>219</v>
      </c>
      <c r="S221" s="306" t="s">
        <v>1838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306" t="s">
        <v>1838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306" t="s">
        <v>1838</v>
      </c>
      <c r="Z221" t="str">
        <f>IFERROR(VLOOKUP(ROWS($Z$3:Z221),$X$3:$Y$992,2,0),"")</f>
        <v>Stavba lodí a člunů</v>
      </c>
    </row>
    <row r="222" spans="10:26">
      <c r="J222" s="316" t="s">
        <v>1840</v>
      </c>
      <c r="K222" s="304" t="s">
        <v>1841</v>
      </c>
      <c r="M222" s="305">
        <f>IF(ISNUMBER(SEARCH(ZAKL_DATA!$B$29,N222)),MAX($M$2:M221)+1,0)</f>
        <v>220</v>
      </c>
      <c r="N222" s="306" t="s">
        <v>1842</v>
      </c>
      <c r="O222" s="323" t="s">
        <v>1843</v>
      </c>
      <c r="P222" s="308"/>
      <c r="Q222" s="309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306" t="s">
        <v>1842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306" t="s">
        <v>1842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306" t="s">
        <v>1842</v>
      </c>
      <c r="Z222" t="str">
        <f>IFERROR(VLOOKUP(ROWS($Z$3:Z222),$X$3:$Y$992,2,0),"")</f>
        <v>Výroba železničních lokomotiv a vozového parku</v>
      </c>
    </row>
    <row r="223" spans="10:26">
      <c r="J223" s="317" t="s">
        <v>1844</v>
      </c>
      <c r="K223" s="304" t="s">
        <v>1845</v>
      </c>
      <c r="M223" s="305">
        <f>IF(ISNUMBER(SEARCH(ZAKL_DATA!$B$29,N223)),MAX($M$2:M222)+1,0)</f>
        <v>221</v>
      </c>
      <c r="N223" s="306" t="s">
        <v>1846</v>
      </c>
      <c r="O223" s="323" t="s">
        <v>1847</v>
      </c>
      <c r="P223" s="308"/>
      <c r="Q223" s="309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306" t="s">
        <v>1846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306" t="s">
        <v>1846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306" t="s">
        <v>1846</v>
      </c>
      <c r="Z223" t="str">
        <f>IFERROR(VLOOKUP(ROWS($Z$3:Z223),$X$3:$Y$992,2,0),"")</f>
        <v>Výroba letadel a jejich motorů,kosmických lodí a souvisejících zařízení</v>
      </c>
    </row>
    <row r="224" spans="10:26">
      <c r="J224" s="317" t="s">
        <v>1848</v>
      </c>
      <c r="K224" s="304" t="s">
        <v>1849</v>
      </c>
      <c r="M224" s="305">
        <f>IF(ISNUMBER(SEARCH(ZAKL_DATA!$B$29,N224)),MAX($M$2:M223)+1,0)</f>
        <v>222</v>
      </c>
      <c r="N224" s="306" t="s">
        <v>1850</v>
      </c>
      <c r="O224" s="323" t="s">
        <v>1851</v>
      </c>
      <c r="P224" s="308"/>
      <c r="Q224" s="309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306" t="s">
        <v>1850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306" t="s">
        <v>1850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306" t="s">
        <v>1850</v>
      </c>
      <c r="Z224" t="str">
        <f>IFERROR(VLOOKUP(ROWS($Z$3:Z224),$X$3:$Y$992,2,0),"")</f>
        <v>Výroba vojenských bojových vozidel</v>
      </c>
    </row>
    <row r="225" spans="10:26">
      <c r="J225" s="317" t="s">
        <v>1852</v>
      </c>
      <c r="K225" s="304" t="s">
        <v>1853</v>
      </c>
      <c r="M225" s="305">
        <f>IF(ISNUMBER(SEARCH(ZAKL_DATA!$B$29,N225)),MAX($M$2:M224)+1,0)</f>
        <v>223</v>
      </c>
      <c r="N225" s="306" t="s">
        <v>1854</v>
      </c>
      <c r="O225" s="323" t="s">
        <v>1855</v>
      </c>
      <c r="P225" s="308"/>
      <c r="Q225" s="309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306" t="s">
        <v>1854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306" t="s">
        <v>1854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306" t="s">
        <v>1854</v>
      </c>
      <c r="Z225" t="str">
        <f>IFERROR(VLOOKUP(ROWS($Z$3:Z225),$X$3:$Y$992,2,0),"")</f>
        <v>Výroba dopravních prostředků a zařízení j. n.</v>
      </c>
    </row>
    <row r="226" spans="10:26">
      <c r="J226" s="317" t="s">
        <v>1856</v>
      </c>
      <c r="K226" s="304" t="s">
        <v>1857</v>
      </c>
      <c r="M226" s="305">
        <f>IF(ISNUMBER(SEARCH(ZAKL_DATA!$B$29,N226)),MAX($M$2:M225)+1,0)</f>
        <v>224</v>
      </c>
      <c r="N226" s="306" t="s">
        <v>1858</v>
      </c>
      <c r="O226" s="323" t="s">
        <v>1859</v>
      </c>
      <c r="P226" s="308"/>
      <c r="Q226" s="309" t="str">
        <f>IFERROR(VLOOKUP(ROWS($Q$3:Q226),$M$3:$N$992,2,0),"")</f>
        <v>Mořský rybolov</v>
      </c>
      <c r="R226">
        <f>IF(ISNUMBER(SEARCH('1Př1'!$A$32,N226)),MAX($M$2:M225)+1,0)</f>
        <v>224</v>
      </c>
      <c r="S226" s="306" t="s">
        <v>1858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306" t="s">
        <v>1858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306" t="s">
        <v>1858</v>
      </c>
      <c r="Z226" t="str">
        <f>IFERROR(VLOOKUP(ROWS($Z$3:Z226),$X$3:$Y$992,2,0),"")</f>
        <v>Mořský rybolov</v>
      </c>
    </row>
    <row r="227" spans="10:26">
      <c r="J227" s="317" t="s">
        <v>1860</v>
      </c>
      <c r="K227" s="304" t="s">
        <v>1861</v>
      </c>
      <c r="M227" s="305">
        <f>IF(ISNUMBER(SEARCH(ZAKL_DATA!$B$29,N227)),MAX($M$2:M226)+1,0)</f>
        <v>225</v>
      </c>
      <c r="N227" s="306" t="s">
        <v>1862</v>
      </c>
      <c r="O227" s="323" t="s">
        <v>1863</v>
      </c>
      <c r="P227" s="308"/>
      <c r="Q227" s="309" t="str">
        <f>IFERROR(VLOOKUP(ROWS($Q$3:Q227),$M$3:$N$992,2,0),"")</f>
        <v>Sladkovodní rybolov</v>
      </c>
      <c r="R227">
        <f>IF(ISNUMBER(SEARCH('1Př1'!$A$32,N227)),MAX($M$2:M226)+1,0)</f>
        <v>225</v>
      </c>
      <c r="S227" s="306" t="s">
        <v>1862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306" t="s">
        <v>1862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306" t="s">
        <v>1862</v>
      </c>
      <c r="Z227" t="str">
        <f>IFERROR(VLOOKUP(ROWS($Z$3:Z227),$X$3:$Y$992,2,0),"")</f>
        <v>Sladkovodní rybolov</v>
      </c>
    </row>
    <row r="228" spans="10:26">
      <c r="J228" s="317" t="s">
        <v>1864</v>
      </c>
      <c r="K228" s="304" t="s">
        <v>1865</v>
      </c>
      <c r="M228" s="305">
        <f>IF(ISNUMBER(SEARCH(ZAKL_DATA!$B$29,N228)),MAX($M$2:M227)+1,0)</f>
        <v>226</v>
      </c>
      <c r="N228" s="306" t="s">
        <v>1866</v>
      </c>
      <c r="O228" s="323" t="s">
        <v>1867</v>
      </c>
      <c r="P228" s="308"/>
      <c r="Q228" s="309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306" t="s">
        <v>1866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306" t="s">
        <v>1866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306" t="s">
        <v>1866</v>
      </c>
      <c r="Z228" t="str">
        <f>IFERROR(VLOOKUP(ROWS($Z$3:Z228),$X$3:$Y$992,2,0),"")</f>
        <v>Výroba klenotů, bižuterie a příbuzných výrobků</v>
      </c>
    </row>
    <row r="229" spans="10:26">
      <c r="J229" s="317" t="s">
        <v>1868</v>
      </c>
      <c r="K229" s="304" t="s">
        <v>1869</v>
      </c>
      <c r="M229" s="305">
        <f>IF(ISNUMBER(SEARCH(ZAKL_DATA!$B$29,N229)),MAX($M$2:M228)+1,0)</f>
        <v>227</v>
      </c>
      <c r="N229" s="306" t="s">
        <v>1870</v>
      </c>
      <c r="O229" s="323" t="s">
        <v>1871</v>
      </c>
      <c r="P229" s="308"/>
      <c r="Q229" s="309" t="str">
        <f>IFERROR(VLOOKUP(ROWS($Q$3:Q229),$M$3:$N$992,2,0),"")</f>
        <v>Mořská akvakultura</v>
      </c>
      <c r="R229">
        <f>IF(ISNUMBER(SEARCH('1Př1'!$A$32,N229)),MAX($M$2:M228)+1,0)</f>
        <v>227</v>
      </c>
      <c r="S229" s="306" t="s">
        <v>1870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306" t="s">
        <v>1870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306" t="s">
        <v>1870</v>
      </c>
      <c r="Z229" t="str">
        <f>IFERROR(VLOOKUP(ROWS($Z$3:Z229),$X$3:$Y$992,2,0),"")</f>
        <v>Mořská akvakultura</v>
      </c>
    </row>
    <row r="230" spans="10:26">
      <c r="J230" s="317" t="s">
        <v>1872</v>
      </c>
      <c r="K230" s="304" t="s">
        <v>1873</v>
      </c>
      <c r="M230" s="305">
        <f>IF(ISNUMBER(SEARCH(ZAKL_DATA!$B$29,N230)),MAX($M$2:M229)+1,0)</f>
        <v>228</v>
      </c>
      <c r="N230" s="306" t="s">
        <v>1874</v>
      </c>
      <c r="O230" s="323" t="s">
        <v>1875</v>
      </c>
      <c r="P230" s="308"/>
      <c r="Q230" s="309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306" t="s">
        <v>1874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306" t="s">
        <v>1874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306" t="s">
        <v>1874</v>
      </c>
      <c r="Z230" t="str">
        <f>IFERROR(VLOOKUP(ROWS($Z$3:Z230),$X$3:$Y$992,2,0),"")</f>
        <v>Výroba hudebních nástrojů</v>
      </c>
    </row>
    <row r="231" spans="10:26">
      <c r="J231" s="317" t="s">
        <v>1876</v>
      </c>
      <c r="K231" s="304" t="s">
        <v>1877</v>
      </c>
      <c r="M231" s="305">
        <f>IF(ISNUMBER(SEARCH(ZAKL_DATA!$B$29,N231)),MAX($M$2:M230)+1,0)</f>
        <v>229</v>
      </c>
      <c r="N231" s="306" t="s">
        <v>1878</v>
      </c>
      <c r="O231" s="323" t="s">
        <v>1879</v>
      </c>
      <c r="P231" s="308"/>
      <c r="Q231" s="309" t="str">
        <f>IFERROR(VLOOKUP(ROWS($Q$3:Q231),$M$3:$N$992,2,0),"")</f>
        <v>Sladkovodní akvakultura</v>
      </c>
      <c r="R231">
        <f>IF(ISNUMBER(SEARCH('1Př1'!$A$32,N231)),MAX($M$2:M230)+1,0)</f>
        <v>229</v>
      </c>
      <c r="S231" s="306" t="s">
        <v>1878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306" t="s">
        <v>1878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306" t="s">
        <v>1878</v>
      </c>
      <c r="Z231" t="str">
        <f>IFERROR(VLOOKUP(ROWS($Z$3:Z231),$X$3:$Y$992,2,0),"")</f>
        <v>Sladkovodní akvakultura</v>
      </c>
    </row>
    <row r="232" spans="10:26">
      <c r="J232" s="317" t="s">
        <v>1880</v>
      </c>
      <c r="K232" s="304" t="s">
        <v>1881</v>
      </c>
      <c r="M232" s="305">
        <f>IF(ISNUMBER(SEARCH(ZAKL_DATA!$B$29,N232)),MAX($M$2:M231)+1,0)</f>
        <v>230</v>
      </c>
      <c r="N232" s="306" t="s">
        <v>1882</v>
      </c>
      <c r="O232" s="323" t="s">
        <v>1883</v>
      </c>
      <c r="P232" s="308"/>
      <c r="Q232" s="309" t="str">
        <f>IFERROR(VLOOKUP(ROWS($Q$3:Q232),$M$3:$N$992,2,0),"")</f>
        <v>Výroba sportovních potřeb</v>
      </c>
      <c r="R232">
        <f>IF(ISNUMBER(SEARCH('1Př1'!$A$32,N232)),MAX($M$2:M231)+1,0)</f>
        <v>230</v>
      </c>
      <c r="S232" s="306" t="s">
        <v>1882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306" t="s">
        <v>1882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306" t="s">
        <v>1882</v>
      </c>
      <c r="Z232" t="str">
        <f>IFERROR(VLOOKUP(ROWS($Z$3:Z232),$X$3:$Y$992,2,0),"")</f>
        <v>Výroba sportovních potřeb</v>
      </c>
    </row>
    <row r="233" spans="10:26">
      <c r="J233" s="317" t="s">
        <v>1884</v>
      </c>
      <c r="K233" s="304" t="s">
        <v>1885</v>
      </c>
      <c r="M233" s="305">
        <f>IF(ISNUMBER(SEARCH(ZAKL_DATA!$B$29,N233)),MAX($M$2:M232)+1,0)</f>
        <v>231</v>
      </c>
      <c r="N233" s="306" t="s">
        <v>1886</v>
      </c>
      <c r="O233" s="323" t="s">
        <v>1887</v>
      </c>
      <c r="P233" s="308"/>
      <c r="Q233" s="309" t="str">
        <f>IFERROR(VLOOKUP(ROWS($Q$3:Q233),$M$3:$N$992,2,0),"")</f>
        <v>Výroba her a hraček</v>
      </c>
      <c r="R233">
        <f>IF(ISNUMBER(SEARCH('1Př1'!$A$32,N233)),MAX($M$2:M232)+1,0)</f>
        <v>231</v>
      </c>
      <c r="S233" s="306" t="s">
        <v>1886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306" t="s">
        <v>1886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306" t="s">
        <v>1886</v>
      </c>
      <c r="Z233" t="str">
        <f>IFERROR(VLOOKUP(ROWS($Z$3:Z233),$X$3:$Y$992,2,0),"")</f>
        <v>Výroba her a hraček</v>
      </c>
    </row>
    <row r="234" spans="10:26">
      <c r="J234" s="317" t="s">
        <v>1888</v>
      </c>
      <c r="K234" s="304" t="s">
        <v>1889</v>
      </c>
      <c r="M234" s="305">
        <f>IF(ISNUMBER(SEARCH(ZAKL_DATA!$B$29,N234)),MAX($M$2:M233)+1,0)</f>
        <v>232</v>
      </c>
      <c r="N234" s="306" t="s">
        <v>1890</v>
      </c>
      <c r="O234" s="323" t="s">
        <v>1891</v>
      </c>
      <c r="P234" s="308"/>
      <c r="Q234" s="309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306" t="s">
        <v>1890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306" t="s">
        <v>1890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306" t="s">
        <v>1890</v>
      </c>
      <c r="Z234" t="str">
        <f>IFERROR(VLOOKUP(ROWS($Z$3:Z234),$X$3:$Y$992,2,0),"")</f>
        <v>Výroba lékařských a dentálních nástrojů a potřeb</v>
      </c>
    </row>
    <row r="235" spans="10:26">
      <c r="J235" s="317" t="s">
        <v>1892</v>
      </c>
      <c r="K235" s="304" t="s">
        <v>1893</v>
      </c>
      <c r="M235" s="305">
        <f>IF(ISNUMBER(SEARCH(ZAKL_DATA!$B$29,N235)),MAX($M$2:M234)+1,0)</f>
        <v>233</v>
      </c>
      <c r="N235" s="306" t="s">
        <v>1894</v>
      </c>
      <c r="O235" s="323" t="s">
        <v>1895</v>
      </c>
      <c r="P235" s="308"/>
      <c r="Q235" s="309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306" t="s">
        <v>1894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306" t="s">
        <v>1894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306" t="s">
        <v>1894</v>
      </c>
      <c r="Z235" t="str">
        <f>IFERROR(VLOOKUP(ROWS($Z$3:Z235),$X$3:$Y$992,2,0),"")</f>
        <v>Zpracovatelský průmysl j. n.</v>
      </c>
    </row>
    <row r="236" spans="10:26">
      <c r="J236" s="317" t="s">
        <v>1896</v>
      </c>
      <c r="K236" s="304" t="s">
        <v>1897</v>
      </c>
      <c r="M236" s="305">
        <f>IF(ISNUMBER(SEARCH(ZAKL_DATA!$B$29,N236)),MAX($M$2:M235)+1,0)</f>
        <v>234</v>
      </c>
      <c r="N236" s="306" t="s">
        <v>1898</v>
      </c>
      <c r="O236" s="323" t="s">
        <v>1899</v>
      </c>
      <c r="P236" s="308"/>
      <c r="Q236" s="309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306" t="s">
        <v>1898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306" t="s">
        <v>1898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306" t="s">
        <v>1898</v>
      </c>
      <c r="Z236" t="str">
        <f>IFERROR(VLOOKUP(ROWS($Z$3:Z236),$X$3:$Y$992,2,0),"")</f>
        <v>Opravy kovodělných výrobků, strojů a zařízení</v>
      </c>
    </row>
    <row r="237" spans="10:26">
      <c r="J237" s="316" t="s">
        <v>1900</v>
      </c>
      <c r="K237" s="304" t="s">
        <v>1901</v>
      </c>
      <c r="M237" s="305">
        <f>IF(ISNUMBER(SEARCH(ZAKL_DATA!$B$29,N237)),MAX($M$2:M236)+1,0)</f>
        <v>235</v>
      </c>
      <c r="N237" s="306" t="s">
        <v>1902</v>
      </c>
      <c r="O237" s="323" t="s">
        <v>1903</v>
      </c>
      <c r="P237" s="308"/>
      <c r="Q237" s="309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306" t="s">
        <v>1902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306" t="s">
        <v>1902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306" t="s">
        <v>1902</v>
      </c>
      <c r="Z237" t="str">
        <f>IFERROR(VLOOKUP(ROWS($Z$3:Z237),$X$3:$Y$992,2,0),"")</f>
        <v>Instalace průmyslových strojů a zařízení</v>
      </c>
    </row>
    <row r="238" spans="10:26">
      <c r="J238" s="317" t="s">
        <v>1904</v>
      </c>
      <c r="K238" s="304" t="s">
        <v>1905</v>
      </c>
      <c r="M238" s="305">
        <f>IF(ISNUMBER(SEARCH(ZAKL_DATA!$B$29,N238)),MAX($M$2:M237)+1,0)</f>
        <v>236</v>
      </c>
      <c r="N238" s="306" t="s">
        <v>1906</v>
      </c>
      <c r="O238" s="323" t="s">
        <v>1907</v>
      </c>
      <c r="P238" s="308"/>
      <c r="Q238" s="309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306" t="s">
        <v>1906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306" t="s">
        <v>1906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306" t="s">
        <v>1906</v>
      </c>
      <c r="Z238" t="str">
        <f>IFERROR(VLOOKUP(ROWS($Z$3:Z238),$X$3:$Y$992,2,0),"")</f>
        <v>Výroba, přenos a rozvod elektřiny</v>
      </c>
    </row>
    <row r="239" spans="10:26">
      <c r="J239" s="317" t="s">
        <v>1908</v>
      </c>
      <c r="K239" s="304" t="s">
        <v>1909</v>
      </c>
      <c r="M239" s="305">
        <f>IF(ISNUMBER(SEARCH(ZAKL_DATA!$B$29,N239)),MAX($M$2:M238)+1,0)</f>
        <v>237</v>
      </c>
      <c r="N239" s="306" t="s">
        <v>1910</v>
      </c>
      <c r="O239" s="323" t="s">
        <v>1911</v>
      </c>
      <c r="P239" s="308"/>
      <c r="Q239" s="309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306" t="s">
        <v>1910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306" t="s">
        <v>1910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306" t="s">
        <v>1910</v>
      </c>
      <c r="Z239" t="str">
        <f>IFERROR(VLOOKUP(ROWS($Z$3:Z239),$X$3:$Y$992,2,0),"")</f>
        <v>Výroba plynu; rozvod plynných paliv prostřednictvím sítí</v>
      </c>
    </row>
    <row r="240" spans="10:26">
      <c r="J240" s="317" t="s">
        <v>1912</v>
      </c>
      <c r="K240" s="304" t="s">
        <v>1913</v>
      </c>
      <c r="M240" s="305">
        <f>IF(ISNUMBER(SEARCH(ZAKL_DATA!$B$29,N240)),MAX($M$2:M239)+1,0)</f>
        <v>238</v>
      </c>
      <c r="N240" s="306" t="s">
        <v>1914</v>
      </c>
      <c r="O240" s="323" t="s">
        <v>1915</v>
      </c>
      <c r="P240" s="308"/>
      <c r="Q240" s="309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306" t="s">
        <v>1914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306" t="s">
        <v>1914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306" t="s">
        <v>1914</v>
      </c>
      <c r="Z240" t="str">
        <f>IFERROR(VLOOKUP(ROWS($Z$3:Z240),$X$3:$Y$992,2,0),"")</f>
        <v>Výroba a rozvod tepla a klimatizovaného vzduchu, výroba ledu</v>
      </c>
    </row>
    <row r="241" spans="10:26">
      <c r="J241" s="317" t="s">
        <v>1916</v>
      </c>
      <c r="K241" s="304" t="s">
        <v>1917</v>
      </c>
      <c r="M241" s="305">
        <f>IF(ISNUMBER(SEARCH(ZAKL_DATA!$B$29,N241)),MAX($M$2:M240)+1,0)</f>
        <v>239</v>
      </c>
      <c r="N241" s="306" t="s">
        <v>1918</v>
      </c>
      <c r="O241" s="323" t="s">
        <v>1919</v>
      </c>
      <c r="P241" s="308"/>
      <c r="Q241" s="309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306" t="s">
        <v>1918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306" t="s">
        <v>1918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306" t="s">
        <v>1918</v>
      </c>
      <c r="Z241" t="str">
        <f>IFERROR(VLOOKUP(ROWS($Z$3:Z241),$X$3:$Y$992,2,0),"")</f>
        <v>Shromažďování a sběr odpadů</v>
      </c>
    </row>
    <row r="242" spans="10:26">
      <c r="J242" s="317" t="s">
        <v>1920</v>
      </c>
      <c r="K242" s="304" t="s">
        <v>1921</v>
      </c>
      <c r="M242" s="305">
        <f>IF(ISNUMBER(SEARCH(ZAKL_DATA!$B$29,N242)),MAX($M$2:M241)+1,0)</f>
        <v>240</v>
      </c>
      <c r="N242" s="306" t="s">
        <v>1922</v>
      </c>
      <c r="O242" s="323" t="s">
        <v>1923</v>
      </c>
      <c r="P242" s="308"/>
      <c r="Q242" s="309" t="str">
        <f>IFERROR(VLOOKUP(ROWS($Q$3:Q242),$M$3:$N$992,2,0),"")</f>
        <v>Odstraňování odpadů</v>
      </c>
      <c r="R242">
        <f>IF(ISNUMBER(SEARCH('1Př1'!$A$32,N242)),MAX($M$2:M241)+1,0)</f>
        <v>240</v>
      </c>
      <c r="S242" s="306" t="s">
        <v>1922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306" t="s">
        <v>1922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306" t="s">
        <v>1922</v>
      </c>
      <c r="Z242" t="str">
        <f>IFERROR(VLOOKUP(ROWS($Z$3:Z242),$X$3:$Y$992,2,0),"")</f>
        <v>Odstraňování odpadů</v>
      </c>
    </row>
    <row r="243" spans="10:26">
      <c r="J243" s="317" t="s">
        <v>1924</v>
      </c>
      <c r="K243" s="304" t="s">
        <v>1925</v>
      </c>
      <c r="M243" s="305">
        <f>IF(ISNUMBER(SEARCH(ZAKL_DATA!$B$29,N243)),MAX($M$2:M242)+1,0)</f>
        <v>241</v>
      </c>
      <c r="N243" s="306" t="s">
        <v>1926</v>
      </c>
      <c r="O243" s="323" t="s">
        <v>1927</v>
      </c>
      <c r="P243" s="308"/>
      <c r="Q243" s="309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306" t="s">
        <v>1926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306" t="s">
        <v>1926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306" t="s">
        <v>1926</v>
      </c>
      <c r="Z243" t="str">
        <f>IFERROR(VLOOKUP(ROWS($Z$3:Z243),$X$3:$Y$992,2,0),"")</f>
        <v>Úprava odpadů k dalšímu využití</v>
      </c>
    </row>
    <row r="244" spans="10:26">
      <c r="J244" s="317" t="s">
        <v>1928</v>
      </c>
      <c r="K244" s="304" t="s">
        <v>1929</v>
      </c>
      <c r="M244" s="305">
        <f>IF(ISNUMBER(SEARCH(ZAKL_DATA!$B$29,N244)),MAX($M$2:M243)+1,0)</f>
        <v>242</v>
      </c>
      <c r="N244" s="306" t="s">
        <v>1930</v>
      </c>
      <c r="O244" s="323" t="s">
        <v>1931</v>
      </c>
      <c r="P244" s="308"/>
      <c r="Q244" s="309" t="str">
        <f>IFERROR(VLOOKUP(ROWS($Q$3:Q244),$M$3:$N$992,2,0),"")</f>
        <v>Developerská činnost</v>
      </c>
      <c r="R244">
        <f>IF(ISNUMBER(SEARCH('1Př1'!$A$32,N244)),MAX($M$2:M243)+1,0)</f>
        <v>242</v>
      </c>
      <c r="S244" s="306" t="s">
        <v>1930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306" t="s">
        <v>1930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306" t="s">
        <v>1930</v>
      </c>
      <c r="Z244" t="str">
        <f>IFERROR(VLOOKUP(ROWS($Z$3:Z244),$X$3:$Y$992,2,0),"")</f>
        <v>Developerská činnost</v>
      </c>
    </row>
    <row r="245" spans="10:26">
      <c r="J245" s="317" t="s">
        <v>1932</v>
      </c>
      <c r="K245" s="304" t="s">
        <v>1933</v>
      </c>
      <c r="M245" s="305">
        <f>IF(ISNUMBER(SEARCH(ZAKL_DATA!$B$29,N245)),MAX($M$2:M244)+1,0)</f>
        <v>243</v>
      </c>
      <c r="N245" s="306" t="s">
        <v>1934</v>
      </c>
      <c r="O245" s="323" t="s">
        <v>1935</v>
      </c>
      <c r="P245" s="308"/>
      <c r="Q245" s="309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306" t="s">
        <v>1934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306" t="s">
        <v>1934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306" t="s">
        <v>1934</v>
      </c>
      <c r="Z245" t="str">
        <f>IFERROR(VLOOKUP(ROWS($Z$3:Z245),$X$3:$Y$992,2,0),"")</f>
        <v>Výstavba bytových a nebytových budov</v>
      </c>
    </row>
    <row r="246" spans="10:26">
      <c r="J246" s="317" t="s">
        <v>1936</v>
      </c>
      <c r="K246" s="304" t="s">
        <v>1937</v>
      </c>
      <c r="M246" s="305">
        <f>IF(ISNUMBER(SEARCH(ZAKL_DATA!$B$29,N246)),MAX($M$2:M245)+1,0)</f>
        <v>244</v>
      </c>
      <c r="N246" s="306" t="s">
        <v>1938</v>
      </c>
      <c r="O246" s="323" t="s">
        <v>1939</v>
      </c>
      <c r="P246" s="308"/>
      <c r="Q246" s="309" t="str">
        <f>IFERROR(VLOOKUP(ROWS($Q$3:Q246),$M$3:$N$992,2,0),"")</f>
        <v>Výstavba silnic a železnic</v>
      </c>
      <c r="R246">
        <f>IF(ISNUMBER(SEARCH('1Př1'!$A$32,N246)),MAX($M$2:M245)+1,0)</f>
        <v>244</v>
      </c>
      <c r="S246" s="306" t="s">
        <v>1938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306" t="s">
        <v>1938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306" t="s">
        <v>1938</v>
      </c>
      <c r="Z246" t="str">
        <f>IFERROR(VLOOKUP(ROWS($Z$3:Z246),$X$3:$Y$992,2,0),"")</f>
        <v>Výstavba silnic a železnic</v>
      </c>
    </row>
    <row r="247" spans="10:26">
      <c r="J247" s="317" t="s">
        <v>1940</v>
      </c>
      <c r="K247" s="304" t="s">
        <v>1941</v>
      </c>
      <c r="M247" s="305">
        <f>IF(ISNUMBER(SEARCH(ZAKL_DATA!$B$29,N247)),MAX($M$2:M246)+1,0)</f>
        <v>245</v>
      </c>
      <c r="N247" s="306" t="s">
        <v>1942</v>
      </c>
      <c r="O247" s="323" t="s">
        <v>1943</v>
      </c>
      <c r="P247" s="308"/>
      <c r="Q247" s="309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306" t="s">
        <v>1942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306" t="s">
        <v>1942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306" t="s">
        <v>1942</v>
      </c>
      <c r="Z247" t="str">
        <f>IFERROR(VLOOKUP(ROWS($Z$3:Z247),$X$3:$Y$992,2,0),"")</f>
        <v>Výstavba inženýrských sítí</v>
      </c>
    </row>
    <row r="248" spans="10:26">
      <c r="J248" s="317" t="s">
        <v>1944</v>
      </c>
      <c r="K248" s="304" t="s">
        <v>1945</v>
      </c>
      <c r="M248" s="305">
        <f>IF(ISNUMBER(SEARCH(ZAKL_DATA!$B$29,N248)),MAX($M$2:M247)+1,0)</f>
        <v>246</v>
      </c>
      <c r="N248" s="306" t="s">
        <v>1946</v>
      </c>
      <c r="O248" s="323" t="s">
        <v>1947</v>
      </c>
      <c r="P248" s="308"/>
      <c r="Q248" s="309" t="str">
        <f>IFERROR(VLOOKUP(ROWS($Q$3:Q248),$M$3:$N$992,2,0),"")</f>
        <v>Výstavba ostatních staveb</v>
      </c>
      <c r="R248">
        <f>IF(ISNUMBER(SEARCH('1Př1'!$A$32,N248)),MAX($M$2:M247)+1,0)</f>
        <v>246</v>
      </c>
      <c r="S248" s="306" t="s">
        <v>1946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306" t="s">
        <v>1946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306" t="s">
        <v>1946</v>
      </c>
      <c r="Z248" t="str">
        <f>IFERROR(VLOOKUP(ROWS($Z$3:Z248),$X$3:$Y$992,2,0),"")</f>
        <v>Výstavba ostatních staveb</v>
      </c>
    </row>
    <row r="249" spans="10:26">
      <c r="J249" s="317" t="s">
        <v>1948</v>
      </c>
      <c r="K249" s="304" t="s">
        <v>1949</v>
      </c>
      <c r="M249" s="305">
        <f>IF(ISNUMBER(SEARCH(ZAKL_DATA!$B$29,N249)),MAX($M$2:M248)+1,0)</f>
        <v>247</v>
      </c>
      <c r="N249" s="306" t="s">
        <v>1950</v>
      </c>
      <c r="O249" s="323" t="s">
        <v>1951</v>
      </c>
      <c r="P249" s="308"/>
      <c r="Q249" s="309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306" t="s">
        <v>1950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306" t="s">
        <v>1950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306" t="s">
        <v>1950</v>
      </c>
      <c r="Z249" t="str">
        <f>IFERROR(VLOOKUP(ROWS($Z$3:Z249),$X$3:$Y$992,2,0),"")</f>
        <v>Demolice a příprava staveniště</v>
      </c>
    </row>
    <row r="250" spans="10:26">
      <c r="J250" s="317" t="s">
        <v>1952</v>
      </c>
      <c r="K250" s="304" t="s">
        <v>1953</v>
      </c>
      <c r="M250" s="305">
        <f>IF(ISNUMBER(SEARCH(ZAKL_DATA!$B$29,N250)),MAX($M$2:M249)+1,0)</f>
        <v>248</v>
      </c>
      <c r="N250" s="306" t="s">
        <v>1954</v>
      </c>
      <c r="O250" s="323" t="s">
        <v>1955</v>
      </c>
      <c r="P250" s="308"/>
      <c r="Q250" s="309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306" t="s">
        <v>1954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306" t="s">
        <v>1954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306" t="s">
        <v>1954</v>
      </c>
      <c r="Z250" t="str">
        <f>IFERROR(VLOOKUP(ROWS($Z$3:Z250),$X$3:$Y$992,2,0),"")</f>
        <v>Elektroinstalační, instalatérské a ostatní stavebně instalační práce</v>
      </c>
    </row>
    <row r="251" spans="10:26">
      <c r="J251" s="317" t="s">
        <v>1956</v>
      </c>
      <c r="K251" s="304" t="s">
        <v>1957</v>
      </c>
      <c r="M251" s="305">
        <f>IF(ISNUMBER(SEARCH(ZAKL_DATA!$B$29,N251)),MAX($M$2:M250)+1,0)</f>
        <v>249</v>
      </c>
      <c r="N251" s="306" t="s">
        <v>1958</v>
      </c>
      <c r="O251" s="323" t="s">
        <v>1959</v>
      </c>
      <c r="P251" s="308"/>
      <c r="Q251" s="309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306" t="s">
        <v>1958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306" t="s">
        <v>1958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306" t="s">
        <v>1958</v>
      </c>
      <c r="Z251" t="str">
        <f>IFERROR(VLOOKUP(ROWS($Z$3:Z251),$X$3:$Y$992,2,0),"")</f>
        <v>Kompletační a dokončovací práce</v>
      </c>
    </row>
    <row r="252" spans="10:26">
      <c r="J252" s="317" t="s">
        <v>1960</v>
      </c>
      <c r="K252" s="304" t="s">
        <v>1961</v>
      </c>
      <c r="M252" s="305">
        <f>IF(ISNUMBER(SEARCH(ZAKL_DATA!$B$29,N252)),MAX($M$2:M251)+1,0)</f>
        <v>250</v>
      </c>
      <c r="N252" s="306" t="s">
        <v>1962</v>
      </c>
      <c r="O252" s="323" t="s">
        <v>1963</v>
      </c>
      <c r="P252" s="308"/>
      <c r="Q252" s="309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306" t="s">
        <v>1962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306" t="s">
        <v>1962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306" t="s">
        <v>1962</v>
      </c>
      <c r="Z252" t="str">
        <f>IFERROR(VLOOKUP(ROWS($Z$3:Z252),$X$3:$Y$992,2,0),"")</f>
        <v>Ostatní specializované stavební činnosti</v>
      </c>
    </row>
    <row r="253" spans="10:26" ht="13.5" thickBot="1">
      <c r="J253" s="330" t="s">
        <v>1964</v>
      </c>
      <c r="K253" s="304" t="s">
        <v>1965</v>
      </c>
      <c r="M253" s="305">
        <f>IF(ISNUMBER(SEARCH(ZAKL_DATA!$B$29,N253)),MAX($M$2:M252)+1,0)</f>
        <v>251</v>
      </c>
      <c r="N253" s="306" t="s">
        <v>1966</v>
      </c>
      <c r="O253" s="323" t="s">
        <v>1967</v>
      </c>
      <c r="P253" s="308"/>
      <c r="Q253" s="309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306" t="s">
        <v>1966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306" t="s">
        <v>1966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306" t="s">
        <v>1966</v>
      </c>
      <c r="Z253" t="str">
        <f>IFERROR(VLOOKUP(ROWS($Z$3:Z253),$X$3:$Y$992,2,0),"")</f>
        <v>Obchod s motorovými vozidly, kromě motocyklů</v>
      </c>
    </row>
    <row r="254" spans="10:26">
      <c r="M254" s="305">
        <f>IF(ISNUMBER(SEARCH(ZAKL_DATA!$B$29,N254)),MAX($M$2:M253)+1,0)</f>
        <v>252</v>
      </c>
      <c r="N254" s="306" t="s">
        <v>1968</v>
      </c>
      <c r="O254" s="323" t="s">
        <v>1969</v>
      </c>
      <c r="P254" s="308"/>
      <c r="Q254" s="309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306" t="s">
        <v>1968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306" t="s">
        <v>1968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306" t="s">
        <v>1968</v>
      </c>
      <c r="Z254" t="str">
        <f>IFERROR(VLOOKUP(ROWS($Z$3:Z254),$X$3:$Y$992,2,0),"")</f>
        <v>Opravy a údržba motorových vozidel, kromě motocyklů</v>
      </c>
    </row>
    <row r="255" spans="10:26">
      <c r="M255" s="305">
        <f>IF(ISNUMBER(SEARCH(ZAKL_DATA!$B$29,N255)),MAX($M$2:M254)+1,0)</f>
        <v>253</v>
      </c>
      <c r="N255" s="306" t="s">
        <v>1970</v>
      </c>
      <c r="O255" s="323" t="s">
        <v>1971</v>
      </c>
      <c r="P255" s="308"/>
      <c r="Q255" s="309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306" t="s">
        <v>1970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306" t="s">
        <v>1970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306" t="s">
        <v>1970</v>
      </c>
      <c r="Z255" t="str">
        <f>IFERROR(VLOOKUP(ROWS($Z$3:Z255),$X$3:$Y$992,2,0),"")</f>
        <v>Obchod s díly a příslušenstvím pro motorová vozidla, kromě motocyklů</v>
      </c>
    </row>
    <row r="256" spans="10:26">
      <c r="M256" s="305">
        <f>IF(ISNUMBER(SEARCH(ZAKL_DATA!$B$29,N256)),MAX($M$2:M255)+1,0)</f>
        <v>254</v>
      </c>
      <c r="N256" s="306" t="s">
        <v>1972</v>
      </c>
      <c r="O256" s="323" t="s">
        <v>1973</v>
      </c>
      <c r="P256" s="308"/>
      <c r="Q256" s="309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306" t="s">
        <v>1972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306" t="s">
        <v>1972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306" t="s">
        <v>1972</v>
      </c>
      <c r="Z256" t="str">
        <f>IFERROR(VLOOKUP(ROWS($Z$3:Z256),$X$3:$Y$992,2,0),"")</f>
        <v>Obchod, opravy a údržba motocyklů, jejich dílů a příslušenství</v>
      </c>
    </row>
    <row r="257" spans="13:26">
      <c r="M257" s="305">
        <f>IF(ISNUMBER(SEARCH(ZAKL_DATA!$B$29,N257)),MAX($M$2:M256)+1,0)</f>
        <v>255</v>
      </c>
      <c r="N257" s="306" t="s">
        <v>1974</v>
      </c>
      <c r="O257" s="323" t="s">
        <v>1975</v>
      </c>
      <c r="P257" s="308"/>
      <c r="Q257" s="309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306" t="s">
        <v>1974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306" t="s">
        <v>1974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306" t="s">
        <v>1974</v>
      </c>
      <c r="Z257" t="str">
        <f>IFERROR(VLOOKUP(ROWS($Z$3:Z257),$X$3:$Y$992,2,0),"")</f>
        <v>Zprostředkování velkoobchodu a velkoobchod v zastoupení</v>
      </c>
    </row>
    <row r="258" spans="13:26">
      <c r="M258" s="305">
        <f>IF(ISNUMBER(SEARCH(ZAKL_DATA!$B$29,N258)),MAX($M$2:M257)+1,0)</f>
        <v>256</v>
      </c>
      <c r="N258" s="306" t="s">
        <v>1976</v>
      </c>
      <c r="O258" s="323" t="s">
        <v>1977</v>
      </c>
      <c r="P258" s="308"/>
      <c r="Q258" s="309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306" t="s">
        <v>1976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306" t="s">
        <v>1976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306" t="s">
        <v>1976</v>
      </c>
      <c r="Z258" t="str">
        <f>IFERROR(VLOOKUP(ROWS($Z$3:Z258),$X$3:$Y$992,2,0),"")</f>
        <v>Velkoobchod se základními zemědělskými produkty a živými zvířaty</v>
      </c>
    </row>
    <row r="259" spans="13:26">
      <c r="M259" s="305">
        <f>IF(ISNUMBER(SEARCH(ZAKL_DATA!$B$29,N259)),MAX($M$2:M258)+1,0)</f>
        <v>257</v>
      </c>
      <c r="N259" s="306" t="s">
        <v>1978</v>
      </c>
      <c r="O259" s="323" t="s">
        <v>1979</v>
      </c>
      <c r="P259" s="308"/>
      <c r="Q259" s="309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306" t="s">
        <v>1978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306" t="s">
        <v>1978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306" t="s">
        <v>1978</v>
      </c>
      <c r="Z259" t="str">
        <f>IFERROR(VLOOKUP(ROWS($Z$3:Z259),$X$3:$Y$992,2,0),"")</f>
        <v>Velkoobchod s potravinami, nápoji a tabákovými výrobky</v>
      </c>
    </row>
    <row r="260" spans="13:26">
      <c r="M260" s="305">
        <f>IF(ISNUMBER(SEARCH(ZAKL_DATA!$B$29,N260)),MAX($M$2:M259)+1,0)</f>
        <v>258</v>
      </c>
      <c r="N260" s="306" t="s">
        <v>1980</v>
      </c>
      <c r="O260" s="323" t="s">
        <v>1981</v>
      </c>
      <c r="P260" s="308"/>
      <c r="Q260" s="309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306" t="s">
        <v>1980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306" t="s">
        <v>1980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306" t="s">
        <v>1980</v>
      </c>
      <c r="Z260" t="str">
        <f>IFERROR(VLOOKUP(ROWS($Z$3:Z260),$X$3:$Y$992,2,0),"")</f>
        <v>Velkoobchod s výrobky převážně pro domácnost</v>
      </c>
    </row>
    <row r="261" spans="13:26">
      <c r="M261" s="305">
        <f>IF(ISNUMBER(SEARCH(ZAKL_DATA!$B$29,N261)),MAX($M$2:M260)+1,0)</f>
        <v>259</v>
      </c>
      <c r="N261" s="306" t="s">
        <v>1982</v>
      </c>
      <c r="O261" s="323" t="s">
        <v>1983</v>
      </c>
      <c r="P261" s="308"/>
      <c r="Q261" s="309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306" t="s">
        <v>1982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306" t="s">
        <v>1982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306" t="s">
        <v>1982</v>
      </c>
      <c r="Z261" t="str">
        <f>IFERROR(VLOOKUP(ROWS($Z$3:Z261),$X$3:$Y$992,2,0),"")</f>
        <v>Velkoobchod s počítačovým a komunikačním zařízením</v>
      </c>
    </row>
    <row r="262" spans="13:26">
      <c r="M262" s="305">
        <f>IF(ISNUMBER(SEARCH(ZAKL_DATA!$B$29,N262)),MAX($M$2:M261)+1,0)</f>
        <v>260</v>
      </c>
      <c r="N262" s="306" t="s">
        <v>1984</v>
      </c>
      <c r="O262" s="323" t="s">
        <v>1985</v>
      </c>
      <c r="P262" s="308"/>
      <c r="Q262" s="309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306" t="s">
        <v>1984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306" t="s">
        <v>1984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306" t="s">
        <v>1984</v>
      </c>
      <c r="Z262" t="str">
        <f>IFERROR(VLOOKUP(ROWS($Z$3:Z262),$X$3:$Y$992,2,0),"")</f>
        <v>Velkoobchod s ostatními stroji, strojním zařízením a příslušenstvím</v>
      </c>
    </row>
    <row r="263" spans="13:26">
      <c r="M263" s="305">
        <f>IF(ISNUMBER(SEARCH(ZAKL_DATA!$B$29,N263)),MAX($M$2:M262)+1,0)</f>
        <v>261</v>
      </c>
      <c r="N263" s="306" t="s">
        <v>1986</v>
      </c>
      <c r="O263" s="323" t="s">
        <v>1987</v>
      </c>
      <c r="P263" s="308"/>
      <c r="Q263" s="309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306" t="s">
        <v>1986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306" t="s">
        <v>1986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306" t="s">
        <v>1986</v>
      </c>
      <c r="Z263" t="str">
        <f>IFERROR(VLOOKUP(ROWS($Z$3:Z263),$X$3:$Y$992,2,0),"")</f>
        <v>Ostatní specializovaný velkoobchod</v>
      </c>
    </row>
    <row r="264" spans="13:26">
      <c r="M264" s="305">
        <f>IF(ISNUMBER(SEARCH(ZAKL_DATA!$B$29,N264)),MAX($M$2:M263)+1,0)</f>
        <v>262</v>
      </c>
      <c r="N264" s="306" t="s">
        <v>1988</v>
      </c>
      <c r="O264" s="323" t="s">
        <v>1989</v>
      </c>
      <c r="P264" s="308"/>
      <c r="Q264" s="309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306" t="s">
        <v>1988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306" t="s">
        <v>1988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306" t="s">
        <v>1988</v>
      </c>
      <c r="Z264" t="str">
        <f>IFERROR(VLOOKUP(ROWS($Z$3:Z264),$X$3:$Y$992,2,0),"")</f>
        <v>Nespecializovaný velkoobchod</v>
      </c>
    </row>
    <row r="265" spans="13:26">
      <c r="M265" s="305">
        <f>IF(ISNUMBER(SEARCH(ZAKL_DATA!$B$29,N265)),MAX($M$2:M264)+1,0)</f>
        <v>263</v>
      </c>
      <c r="N265" s="306" t="s">
        <v>1990</v>
      </c>
      <c r="O265" s="323" t="s">
        <v>1991</v>
      </c>
      <c r="P265" s="308"/>
      <c r="Q265" s="309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306" t="s">
        <v>1990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306" t="s">
        <v>1990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306" t="s">
        <v>1990</v>
      </c>
      <c r="Z265" t="str">
        <f>IFERROR(VLOOKUP(ROWS($Z$3:Z265),$X$3:$Y$992,2,0),"")</f>
        <v>Maloobchod v nespecializovaných prodejnách</v>
      </c>
    </row>
    <row r="266" spans="13:26">
      <c r="M266" s="305">
        <f>IF(ISNUMBER(SEARCH(ZAKL_DATA!$B$29,N266)),MAX($M$2:M265)+1,0)</f>
        <v>264</v>
      </c>
      <c r="N266" s="306" t="s">
        <v>1992</v>
      </c>
      <c r="O266" s="323" t="s">
        <v>1993</v>
      </c>
      <c r="P266" s="308"/>
      <c r="Q266" s="309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306" t="s">
        <v>1992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306" t="s">
        <v>1992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306" t="s">
        <v>1992</v>
      </c>
      <c r="Z266" t="str">
        <f>IFERROR(VLOOKUP(ROWS($Z$3:Z266),$X$3:$Y$992,2,0),"")</f>
        <v>Maloobchod s potravinami,nápoji a tabák.výrobky ve specializ.prodejnách</v>
      </c>
    </row>
    <row r="267" spans="13:26">
      <c r="M267" s="305">
        <f>IF(ISNUMBER(SEARCH(ZAKL_DATA!$B$29,N267)),MAX($M$2:M266)+1,0)</f>
        <v>265</v>
      </c>
      <c r="N267" s="306" t="s">
        <v>1994</v>
      </c>
      <c r="O267" s="323" t="s">
        <v>1995</v>
      </c>
      <c r="P267" s="308"/>
      <c r="Q267" s="309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306" t="s">
        <v>1994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306" t="s">
        <v>1994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306" t="s">
        <v>1994</v>
      </c>
      <c r="Z267" t="str">
        <f>IFERROR(VLOOKUP(ROWS($Z$3:Z267),$X$3:$Y$992,2,0),"")</f>
        <v>Maloobchod s pohonnými hmotami ve specializovaných prodejnách</v>
      </c>
    </row>
    <row r="268" spans="13:26">
      <c r="M268" s="305">
        <f>IF(ISNUMBER(SEARCH(ZAKL_DATA!$B$29,N268)),MAX($M$2:M267)+1,0)</f>
        <v>266</v>
      </c>
      <c r="N268" s="306" t="s">
        <v>1996</v>
      </c>
      <c r="O268" s="323" t="s">
        <v>1997</v>
      </c>
      <c r="P268" s="308"/>
      <c r="Q268" s="309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306" t="s">
        <v>1996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306" t="s">
        <v>1996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306" t="s">
        <v>1996</v>
      </c>
      <c r="Z268" t="str">
        <f>IFERROR(VLOOKUP(ROWS($Z$3:Z268),$X$3:$Y$992,2,0),"")</f>
        <v>Maloobchod s počítačovým a komunikačním zařízením ve specializ.prodejnách</v>
      </c>
    </row>
    <row r="269" spans="13:26">
      <c r="M269" s="305">
        <f>IF(ISNUMBER(SEARCH(ZAKL_DATA!$B$29,N269)),MAX($M$2:M268)+1,0)</f>
        <v>267</v>
      </c>
      <c r="N269" s="306" t="s">
        <v>1998</v>
      </c>
      <c r="O269" s="323" t="s">
        <v>1999</v>
      </c>
      <c r="P269" s="308"/>
      <c r="Q269" s="309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306" t="s">
        <v>1998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306" t="s">
        <v>1998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306" t="s">
        <v>1998</v>
      </c>
      <c r="Z269" t="str">
        <f>IFERROR(VLOOKUP(ROWS($Z$3:Z269),$X$3:$Y$992,2,0),"")</f>
        <v>Maloobchod s ost.výrobky převážně pro domácnost ve specializ.prodejnách</v>
      </c>
    </row>
    <row r="270" spans="13:26">
      <c r="M270" s="305">
        <f>IF(ISNUMBER(SEARCH(ZAKL_DATA!$B$29,N270)),MAX($M$2:M269)+1,0)</f>
        <v>268</v>
      </c>
      <c r="N270" s="306" t="s">
        <v>2000</v>
      </c>
      <c r="O270" s="323" t="s">
        <v>2001</v>
      </c>
      <c r="P270" s="308"/>
      <c r="Q270" s="309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306" t="s">
        <v>2000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306" t="s">
        <v>2000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306" t="s">
        <v>2000</v>
      </c>
      <c r="Z270" t="str">
        <f>IFERROR(VLOOKUP(ROWS($Z$3:Z270),$X$3:$Y$992,2,0),"")</f>
        <v>Maloobchod s výrobky pro kulturní rozhled a rekreaci ve specializ.prod.</v>
      </c>
    </row>
    <row r="271" spans="13:26">
      <c r="M271" s="305">
        <f>IF(ISNUMBER(SEARCH(ZAKL_DATA!$B$29,N271)),MAX($M$2:M270)+1,0)</f>
        <v>269</v>
      </c>
      <c r="N271" s="306" t="s">
        <v>2002</v>
      </c>
      <c r="O271" s="323" t="s">
        <v>2003</v>
      </c>
      <c r="P271" s="308"/>
      <c r="Q271" s="309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306" t="s">
        <v>2002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306" t="s">
        <v>2002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306" t="s">
        <v>2002</v>
      </c>
      <c r="Z271" t="str">
        <f>IFERROR(VLOOKUP(ROWS($Z$3:Z271),$X$3:$Y$992,2,0),"")</f>
        <v>Maloobchod s ostatním zbožím ve specializovaných prodejnách</v>
      </c>
    </row>
    <row r="272" spans="13:26">
      <c r="M272" s="305">
        <f>IF(ISNUMBER(SEARCH(ZAKL_DATA!$B$29,N272)),MAX($M$2:M271)+1,0)</f>
        <v>270</v>
      </c>
      <c r="N272" s="306" t="s">
        <v>2004</v>
      </c>
      <c r="O272" s="323" t="s">
        <v>2005</v>
      </c>
      <c r="P272" s="308"/>
      <c r="Q272" s="309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306" t="s">
        <v>2004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306" t="s">
        <v>2004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306" t="s">
        <v>2004</v>
      </c>
      <c r="Z272" t="str">
        <f>IFERROR(VLOOKUP(ROWS($Z$3:Z272),$X$3:$Y$992,2,0),"")</f>
        <v>Maloobchod ve stáncích a na trzích</v>
      </c>
    </row>
    <row r="273" spans="13:26">
      <c r="M273" s="305">
        <f>IF(ISNUMBER(SEARCH(ZAKL_DATA!$B$29,N273)),MAX($M$2:M272)+1,0)</f>
        <v>271</v>
      </c>
      <c r="N273" s="306" t="s">
        <v>2006</v>
      </c>
      <c r="O273" s="323" t="s">
        <v>2007</v>
      </c>
      <c r="P273" s="308"/>
      <c r="Q273" s="309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306" t="s">
        <v>2006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306" t="s">
        <v>2006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306" t="s">
        <v>2006</v>
      </c>
      <c r="Z273" t="str">
        <f>IFERROR(VLOOKUP(ROWS($Z$3:Z273),$X$3:$Y$992,2,0),"")</f>
        <v>Maloobchod mimo prodejny, stánky a trhy</v>
      </c>
    </row>
    <row r="274" spans="13:26">
      <c r="M274" s="305">
        <f>IF(ISNUMBER(SEARCH(ZAKL_DATA!$B$29,N274)),MAX($M$2:M273)+1,0)</f>
        <v>272</v>
      </c>
      <c r="N274" s="306" t="s">
        <v>2008</v>
      </c>
      <c r="O274" s="323" t="s">
        <v>2009</v>
      </c>
      <c r="P274" s="308"/>
      <c r="Q274" s="309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306" t="s">
        <v>2008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306" t="s">
        <v>2008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306" t="s">
        <v>2008</v>
      </c>
      <c r="Z274" t="str">
        <f>IFERROR(VLOOKUP(ROWS($Z$3:Z274),$X$3:$Y$992,2,0),"")</f>
        <v>železniční osobní doprava meziměstská</v>
      </c>
    </row>
    <row r="275" spans="13:26">
      <c r="M275" s="305">
        <f>IF(ISNUMBER(SEARCH(ZAKL_DATA!$B$29,N275)),MAX($M$2:M274)+1,0)</f>
        <v>273</v>
      </c>
      <c r="N275" s="306" t="s">
        <v>2010</v>
      </c>
      <c r="O275" s="323" t="s">
        <v>2011</v>
      </c>
      <c r="P275" s="308"/>
      <c r="Q275" s="309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306" t="s">
        <v>2010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306" t="s">
        <v>2010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306" t="s">
        <v>2010</v>
      </c>
      <c r="Z275" t="str">
        <f>IFERROR(VLOOKUP(ROWS($Z$3:Z275),$X$3:$Y$992,2,0),"")</f>
        <v>železniční nákladní doprava</v>
      </c>
    </row>
    <row r="276" spans="13:26">
      <c r="M276" s="305">
        <f>IF(ISNUMBER(SEARCH(ZAKL_DATA!$B$29,N276)),MAX($M$2:M275)+1,0)</f>
        <v>274</v>
      </c>
      <c r="N276" s="306" t="s">
        <v>2012</v>
      </c>
      <c r="O276" s="323" t="s">
        <v>2013</v>
      </c>
      <c r="P276" s="308"/>
      <c r="Q276" s="309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306" t="s">
        <v>2012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306" t="s">
        <v>2012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306" t="s">
        <v>2012</v>
      </c>
      <c r="Z276" t="str">
        <f>IFERROR(VLOOKUP(ROWS($Z$3:Z276),$X$3:$Y$992,2,0),"")</f>
        <v>Ostatní pozemní osobní doprava</v>
      </c>
    </row>
    <row r="277" spans="13:26">
      <c r="M277" s="305">
        <f>IF(ISNUMBER(SEARCH(ZAKL_DATA!$B$29,N277)),MAX($M$2:M276)+1,0)</f>
        <v>275</v>
      </c>
      <c r="N277" s="306" t="s">
        <v>2014</v>
      </c>
      <c r="O277" s="323" t="s">
        <v>2015</v>
      </c>
      <c r="P277" s="308"/>
      <c r="Q277" s="309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306" t="s">
        <v>2014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306" t="s">
        <v>2014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306" t="s">
        <v>2014</v>
      </c>
      <c r="Z277" t="str">
        <f>IFERROR(VLOOKUP(ROWS($Z$3:Z277),$X$3:$Y$992,2,0),"")</f>
        <v>Silniční nákladní doprava a stěhovací služby</v>
      </c>
    </row>
    <row r="278" spans="13:26">
      <c r="M278" s="305">
        <f>IF(ISNUMBER(SEARCH(ZAKL_DATA!$B$29,N278)),MAX($M$2:M277)+1,0)</f>
        <v>276</v>
      </c>
      <c r="N278" s="306" t="s">
        <v>2016</v>
      </c>
      <c r="O278" s="323" t="s">
        <v>2017</v>
      </c>
      <c r="P278" s="308"/>
      <c r="Q278" s="309" t="str">
        <f>IFERROR(VLOOKUP(ROWS($Q$3:Q278),$M$3:$N$992,2,0),"")</f>
        <v>Potrubní doprava</v>
      </c>
      <c r="R278">
        <f>IF(ISNUMBER(SEARCH('1Př1'!$A$32,N278)),MAX($M$2:M277)+1,0)</f>
        <v>276</v>
      </c>
      <c r="S278" s="306" t="s">
        <v>2016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306" t="s">
        <v>2016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306" t="s">
        <v>2016</v>
      </c>
      <c r="Z278" t="str">
        <f>IFERROR(VLOOKUP(ROWS($Z$3:Z278),$X$3:$Y$992,2,0),"")</f>
        <v>Potrubní doprava</v>
      </c>
    </row>
    <row r="279" spans="13:26">
      <c r="M279" s="305">
        <f>IF(ISNUMBER(SEARCH(ZAKL_DATA!$B$29,N279)),MAX($M$2:M278)+1,0)</f>
        <v>277</v>
      </c>
      <c r="N279" s="306" t="s">
        <v>2018</v>
      </c>
      <c r="O279" s="323" t="s">
        <v>2019</v>
      </c>
      <c r="P279" s="308"/>
      <c r="Q279" s="309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306" t="s">
        <v>2018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306" t="s">
        <v>2018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306" t="s">
        <v>2018</v>
      </c>
      <c r="Z279" t="str">
        <f>IFERROR(VLOOKUP(ROWS($Z$3:Z279),$X$3:$Y$992,2,0),"")</f>
        <v>Námořní a pobřežní osobní doprava</v>
      </c>
    </row>
    <row r="280" spans="13:26">
      <c r="M280" s="305">
        <f>IF(ISNUMBER(SEARCH(ZAKL_DATA!$B$29,N280)),MAX($M$2:M279)+1,0)</f>
        <v>278</v>
      </c>
      <c r="N280" s="306" t="s">
        <v>2020</v>
      </c>
      <c r="O280" s="323" t="s">
        <v>2021</v>
      </c>
      <c r="P280" s="308"/>
      <c r="Q280" s="309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306" t="s">
        <v>2020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306" t="s">
        <v>2020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306" t="s">
        <v>2020</v>
      </c>
      <c r="Z280" t="str">
        <f>IFERROR(VLOOKUP(ROWS($Z$3:Z280),$X$3:$Y$992,2,0),"")</f>
        <v>Námořní a pobřežní nákladní doprava</v>
      </c>
    </row>
    <row r="281" spans="13:26">
      <c r="M281" s="305">
        <f>IF(ISNUMBER(SEARCH(ZAKL_DATA!$B$29,N281)),MAX($M$2:M280)+1,0)</f>
        <v>279</v>
      </c>
      <c r="N281" s="306" t="s">
        <v>2022</v>
      </c>
      <c r="O281" s="323" t="s">
        <v>2023</v>
      </c>
      <c r="P281" s="308"/>
      <c r="Q281" s="309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306" t="s">
        <v>2022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306" t="s">
        <v>2022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306" t="s">
        <v>2022</v>
      </c>
      <c r="Z281" t="str">
        <f>IFERROR(VLOOKUP(ROWS($Z$3:Z281),$X$3:$Y$992,2,0),"")</f>
        <v>Vnitrozemská vodní osobní doprava</v>
      </c>
    </row>
    <row r="282" spans="13:26">
      <c r="M282" s="305">
        <f>IF(ISNUMBER(SEARCH(ZAKL_DATA!$B$29,N282)),MAX($M$2:M281)+1,0)</f>
        <v>280</v>
      </c>
      <c r="N282" s="306" t="s">
        <v>2024</v>
      </c>
      <c r="O282" s="323" t="s">
        <v>2025</v>
      </c>
      <c r="P282" s="308"/>
      <c r="Q282" s="309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306" t="s">
        <v>2024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306" t="s">
        <v>2024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306" t="s">
        <v>2024</v>
      </c>
      <c r="Z282" t="str">
        <f>IFERROR(VLOOKUP(ROWS($Z$3:Z282),$X$3:$Y$992,2,0),"")</f>
        <v>Vnitrozemská vodní nákladní doprava</v>
      </c>
    </row>
    <row r="283" spans="13:26">
      <c r="M283" s="305">
        <f>IF(ISNUMBER(SEARCH(ZAKL_DATA!$B$29,N283)),MAX($M$2:M282)+1,0)</f>
        <v>281</v>
      </c>
      <c r="N283" s="306" t="s">
        <v>2026</v>
      </c>
      <c r="O283" s="323" t="s">
        <v>2027</v>
      </c>
      <c r="P283" s="308"/>
      <c r="Q283" s="309" t="str">
        <f>IFERROR(VLOOKUP(ROWS($Q$3:Q283),$M$3:$N$992,2,0),"")</f>
        <v>Letecká osobní doprava</v>
      </c>
      <c r="R283">
        <f>IF(ISNUMBER(SEARCH('1Př1'!$A$32,N283)),MAX($M$2:M282)+1,0)</f>
        <v>281</v>
      </c>
      <c r="S283" s="306" t="s">
        <v>2026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306" t="s">
        <v>2026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306" t="s">
        <v>2026</v>
      </c>
      <c r="Z283" t="str">
        <f>IFERROR(VLOOKUP(ROWS($Z$3:Z283),$X$3:$Y$992,2,0),"")</f>
        <v>Letecká osobní doprava</v>
      </c>
    </row>
    <row r="284" spans="13:26">
      <c r="M284" s="305">
        <f>IF(ISNUMBER(SEARCH(ZAKL_DATA!$B$29,N284)),MAX($M$2:M283)+1,0)</f>
        <v>282</v>
      </c>
      <c r="N284" s="306" t="s">
        <v>2028</v>
      </c>
      <c r="O284" s="323" t="s">
        <v>2029</v>
      </c>
      <c r="P284" s="308"/>
      <c r="Q284" s="309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306" t="s">
        <v>2028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306" t="s">
        <v>2028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306" t="s">
        <v>2028</v>
      </c>
      <c r="Z284" t="str">
        <f>IFERROR(VLOOKUP(ROWS($Z$3:Z284),$X$3:$Y$992,2,0),"")</f>
        <v>Letecká nákladní doprava a kosmická doprava</v>
      </c>
    </row>
    <row r="285" spans="13:26">
      <c r="M285" s="305">
        <f>IF(ISNUMBER(SEARCH(ZAKL_DATA!$B$29,N285)),MAX($M$2:M284)+1,0)</f>
        <v>283</v>
      </c>
      <c r="N285" s="306" t="s">
        <v>2030</v>
      </c>
      <c r="O285" s="323" t="s">
        <v>2031</v>
      </c>
      <c r="P285" s="308"/>
      <c r="Q285" s="309" t="str">
        <f>IFERROR(VLOOKUP(ROWS($Q$3:Q285),$M$3:$N$992,2,0),"")</f>
        <v>Skladování</v>
      </c>
      <c r="R285">
        <f>IF(ISNUMBER(SEARCH('1Př1'!$A$32,N285)),MAX($M$2:M284)+1,0)</f>
        <v>283</v>
      </c>
      <c r="S285" s="306" t="s">
        <v>2030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306" t="s">
        <v>2030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306" t="s">
        <v>2030</v>
      </c>
      <c r="Z285" t="str">
        <f>IFERROR(VLOOKUP(ROWS($Z$3:Z285),$X$3:$Y$992,2,0),"")</f>
        <v>Skladování</v>
      </c>
    </row>
    <row r="286" spans="13:26">
      <c r="M286" s="305">
        <f>IF(ISNUMBER(SEARCH(ZAKL_DATA!$B$29,N286)),MAX($M$2:M285)+1,0)</f>
        <v>284</v>
      </c>
      <c r="N286" s="306" t="s">
        <v>2032</v>
      </c>
      <c r="O286" s="323" t="s">
        <v>2033</v>
      </c>
      <c r="P286" s="308"/>
      <c r="Q286" s="309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306" t="s">
        <v>2032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306" t="s">
        <v>2032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306" t="s">
        <v>2032</v>
      </c>
      <c r="Z286" t="str">
        <f>IFERROR(VLOOKUP(ROWS($Z$3:Z286),$X$3:$Y$992,2,0),"")</f>
        <v>Vedlejší činnosti v dopravě</v>
      </c>
    </row>
    <row r="287" spans="13:26">
      <c r="M287" s="305">
        <f>IF(ISNUMBER(SEARCH(ZAKL_DATA!$B$29,N287)),MAX($M$2:M286)+1,0)</f>
        <v>285</v>
      </c>
      <c r="N287" s="306" t="s">
        <v>2034</v>
      </c>
      <c r="O287" s="323" t="s">
        <v>2035</v>
      </c>
      <c r="P287" s="308"/>
      <c r="Q287" s="309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306" t="s">
        <v>2034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306" t="s">
        <v>2034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306" t="s">
        <v>2034</v>
      </c>
      <c r="Z287" t="str">
        <f>IFERROR(VLOOKUP(ROWS($Z$3:Z287),$X$3:$Y$992,2,0),"")</f>
        <v>Základní poštovní služby poskytované na základě poštovní licence</v>
      </c>
    </row>
    <row r="288" spans="13:26">
      <c r="M288" s="305">
        <f>IF(ISNUMBER(SEARCH(ZAKL_DATA!$B$29,N288)),MAX($M$2:M287)+1,0)</f>
        <v>286</v>
      </c>
      <c r="N288" s="306" t="s">
        <v>2036</v>
      </c>
      <c r="O288" s="323" t="s">
        <v>2037</v>
      </c>
      <c r="P288" s="308"/>
      <c r="Q288" s="309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306" t="s">
        <v>2036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306" t="s">
        <v>2036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306" t="s">
        <v>2036</v>
      </c>
      <c r="Z288" t="str">
        <f>IFERROR(VLOOKUP(ROWS($Z$3:Z288),$X$3:$Y$992,2,0),"")</f>
        <v>Ostatní poštovní a kurýrní činnosti</v>
      </c>
    </row>
    <row r="289" spans="13:26">
      <c r="M289" s="305">
        <f>IF(ISNUMBER(SEARCH(ZAKL_DATA!$B$29,N289)),MAX($M$2:M288)+1,0)</f>
        <v>287</v>
      </c>
      <c r="N289" s="306" t="s">
        <v>2038</v>
      </c>
      <c r="O289" s="323" t="s">
        <v>2039</v>
      </c>
      <c r="P289" s="308"/>
      <c r="Q289" s="309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306" t="s">
        <v>2038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306" t="s">
        <v>2038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306" t="s">
        <v>2038</v>
      </c>
      <c r="Z289" t="str">
        <f>IFERROR(VLOOKUP(ROWS($Z$3:Z289),$X$3:$Y$992,2,0),"")</f>
        <v>Ubytování v hotelích a podobných ubytovacích zařízeních</v>
      </c>
    </row>
    <row r="290" spans="13:26">
      <c r="M290" s="305">
        <f>IF(ISNUMBER(SEARCH(ZAKL_DATA!$B$29,N290)),MAX($M$2:M289)+1,0)</f>
        <v>288</v>
      </c>
      <c r="N290" s="306" t="s">
        <v>2040</v>
      </c>
      <c r="O290" s="323" t="s">
        <v>2041</v>
      </c>
      <c r="P290" s="308"/>
      <c r="Q290" s="309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306" t="s">
        <v>2040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306" t="s">
        <v>2040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306" t="s">
        <v>2040</v>
      </c>
      <c r="Z290" t="str">
        <f>IFERROR(VLOOKUP(ROWS($Z$3:Z290),$X$3:$Y$992,2,0),"")</f>
        <v>Rekreační a ostatní krátkodobé ubytování</v>
      </c>
    </row>
    <row r="291" spans="13:26">
      <c r="M291" s="305">
        <f>IF(ISNUMBER(SEARCH(ZAKL_DATA!$B$29,N291)),MAX($M$2:M290)+1,0)</f>
        <v>289</v>
      </c>
      <c r="N291" s="306" t="s">
        <v>2042</v>
      </c>
      <c r="O291" s="323" t="s">
        <v>2043</v>
      </c>
      <c r="P291" s="308"/>
      <c r="Q291" s="309" t="str">
        <f>IFERROR(VLOOKUP(ROWS($Q$3:Q291),$M$3:$N$992,2,0),"")</f>
        <v>Kempy a tábořiště</v>
      </c>
      <c r="R291">
        <f>IF(ISNUMBER(SEARCH('1Př1'!$A$32,N291)),MAX($M$2:M290)+1,0)</f>
        <v>289</v>
      </c>
      <c r="S291" s="306" t="s">
        <v>2042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306" t="s">
        <v>2042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306" t="s">
        <v>2042</v>
      </c>
      <c r="Z291" t="str">
        <f>IFERROR(VLOOKUP(ROWS($Z$3:Z291),$X$3:$Y$992,2,0),"")</f>
        <v>Kempy a tábořiště</v>
      </c>
    </row>
    <row r="292" spans="13:26">
      <c r="M292" s="305">
        <f>IF(ISNUMBER(SEARCH(ZAKL_DATA!$B$29,N292)),MAX($M$2:M291)+1,0)</f>
        <v>290</v>
      </c>
      <c r="N292" s="306" t="s">
        <v>2044</v>
      </c>
      <c r="O292" s="323" t="s">
        <v>2045</v>
      </c>
      <c r="P292" s="308"/>
      <c r="Q292" s="309" t="str">
        <f>IFERROR(VLOOKUP(ROWS($Q$3:Q292),$M$3:$N$992,2,0),"")</f>
        <v>Ostatní ubytování</v>
      </c>
      <c r="R292">
        <f>IF(ISNUMBER(SEARCH('1Př1'!$A$32,N292)),MAX($M$2:M291)+1,0)</f>
        <v>290</v>
      </c>
      <c r="S292" s="306" t="s">
        <v>2044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306" t="s">
        <v>2044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306" t="s">
        <v>2044</v>
      </c>
      <c r="Z292" t="str">
        <f>IFERROR(VLOOKUP(ROWS($Z$3:Z292),$X$3:$Y$992,2,0),"")</f>
        <v>Ostatní ubytování</v>
      </c>
    </row>
    <row r="293" spans="13:26">
      <c r="M293" s="305">
        <f>IF(ISNUMBER(SEARCH(ZAKL_DATA!$B$29,N293)),MAX($M$2:M292)+1,0)</f>
        <v>291</v>
      </c>
      <c r="N293" s="306" t="s">
        <v>2046</v>
      </c>
      <c r="O293" s="323" t="s">
        <v>2047</v>
      </c>
      <c r="P293" s="308"/>
      <c r="Q293" s="309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306" t="s">
        <v>2046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306" t="s">
        <v>2046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306" t="s">
        <v>2046</v>
      </c>
      <c r="Z293" t="str">
        <f>IFERROR(VLOOKUP(ROWS($Z$3:Z293),$X$3:$Y$992,2,0),"")</f>
        <v>Stravování v restauracích, u stánků a v mobilních zařízeních</v>
      </c>
    </row>
    <row r="294" spans="13:26">
      <c r="M294" s="305">
        <f>IF(ISNUMBER(SEARCH(ZAKL_DATA!$B$29,N294)),MAX($M$2:M293)+1,0)</f>
        <v>292</v>
      </c>
      <c r="N294" s="306" t="s">
        <v>2048</v>
      </c>
      <c r="O294" s="323" t="s">
        <v>2049</v>
      </c>
      <c r="P294" s="308"/>
      <c r="Q294" s="309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306" t="s">
        <v>2048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306" t="s">
        <v>2048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306" t="s">
        <v>2048</v>
      </c>
      <c r="Z294" t="str">
        <f>IFERROR(VLOOKUP(ROWS($Z$3:Z294),$X$3:$Y$992,2,0),"")</f>
        <v>Poskytování cateringových a ostatních stravovacích služeb</v>
      </c>
    </row>
    <row r="295" spans="13:26">
      <c r="M295" s="305">
        <f>IF(ISNUMBER(SEARCH(ZAKL_DATA!$B$29,N295)),MAX($M$2:M294)+1,0)</f>
        <v>293</v>
      </c>
      <c r="N295" s="306" t="s">
        <v>2050</v>
      </c>
      <c r="O295" s="323" t="s">
        <v>2051</v>
      </c>
      <c r="P295" s="308"/>
      <c r="Q295" s="309" t="str">
        <f>IFERROR(VLOOKUP(ROWS($Q$3:Q295),$M$3:$N$992,2,0),"")</f>
        <v>Pohostinství</v>
      </c>
      <c r="R295">
        <f>IF(ISNUMBER(SEARCH('1Př1'!$A$32,N295)),MAX($M$2:M294)+1,0)</f>
        <v>293</v>
      </c>
      <c r="S295" s="306" t="s">
        <v>2050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306" t="s">
        <v>2050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306" t="s">
        <v>2050</v>
      </c>
      <c r="Z295" t="str">
        <f>IFERROR(VLOOKUP(ROWS($Z$3:Z295),$X$3:$Y$992,2,0),"")</f>
        <v>Pohostinství</v>
      </c>
    </row>
    <row r="296" spans="13:26">
      <c r="M296" s="305">
        <f>IF(ISNUMBER(SEARCH(ZAKL_DATA!$B$29,N296)),MAX($M$2:M295)+1,0)</f>
        <v>294</v>
      </c>
      <c r="N296" s="306" t="s">
        <v>2052</v>
      </c>
      <c r="O296" s="323" t="s">
        <v>2053</v>
      </c>
      <c r="P296" s="308"/>
      <c r="Q296" s="309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306" t="s">
        <v>2052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306" t="s">
        <v>2052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306" t="s">
        <v>2052</v>
      </c>
      <c r="Z296" t="str">
        <f>IFERROR(VLOOKUP(ROWS($Z$3:Z296),$X$3:$Y$992,2,0),"")</f>
        <v>Vydávání knih, periodických publikací a ostatní vydavatelské činnosti</v>
      </c>
    </row>
    <row r="297" spans="13:26">
      <c r="M297" s="305">
        <f>IF(ISNUMBER(SEARCH(ZAKL_DATA!$B$29,N297)),MAX($M$2:M296)+1,0)</f>
        <v>295</v>
      </c>
      <c r="N297" s="306" t="s">
        <v>2054</v>
      </c>
      <c r="O297" s="323" t="s">
        <v>2055</v>
      </c>
      <c r="P297" s="308"/>
      <c r="Q297" s="309" t="str">
        <f>IFERROR(VLOOKUP(ROWS($Q$3:Q297),$M$3:$N$992,2,0),"")</f>
        <v>Vydávání softwaru</v>
      </c>
      <c r="R297">
        <f>IF(ISNUMBER(SEARCH('1Př1'!$A$32,N297)),MAX($M$2:M296)+1,0)</f>
        <v>295</v>
      </c>
      <c r="S297" s="306" t="s">
        <v>2054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306" t="s">
        <v>2054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306" t="s">
        <v>2054</v>
      </c>
      <c r="Z297" t="str">
        <f>IFERROR(VLOOKUP(ROWS($Z$3:Z297),$X$3:$Y$992,2,0),"")</f>
        <v>Vydávání softwaru</v>
      </c>
    </row>
    <row r="298" spans="13:26">
      <c r="M298" s="305">
        <f>IF(ISNUMBER(SEARCH(ZAKL_DATA!$B$29,N298)),MAX($M$2:M297)+1,0)</f>
        <v>296</v>
      </c>
      <c r="N298" s="306" t="s">
        <v>2056</v>
      </c>
      <c r="O298" s="323" t="s">
        <v>2057</v>
      </c>
      <c r="P298" s="308"/>
      <c r="Q298" s="309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306" t="s">
        <v>2056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306" t="s">
        <v>2056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306" t="s">
        <v>2056</v>
      </c>
      <c r="Z298" t="str">
        <f>IFERROR(VLOOKUP(ROWS($Z$3:Z298),$X$3:$Y$992,2,0),"")</f>
        <v>Činnosti v oblasti filmů, videozáznamů a televizních programů</v>
      </c>
    </row>
    <row r="299" spans="13:26">
      <c r="M299" s="305">
        <f>IF(ISNUMBER(SEARCH(ZAKL_DATA!$B$29,N299)),MAX($M$2:M298)+1,0)</f>
        <v>297</v>
      </c>
      <c r="N299" s="306" t="s">
        <v>2058</v>
      </c>
      <c r="O299" s="323" t="s">
        <v>2059</v>
      </c>
      <c r="P299" s="308"/>
      <c r="Q299" s="309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306" t="s">
        <v>2058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306" t="s">
        <v>2058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306" t="s">
        <v>2058</v>
      </c>
      <c r="Z299" t="str">
        <f>IFERROR(VLOOKUP(ROWS($Z$3:Z299),$X$3:$Y$992,2,0),"")</f>
        <v>Pořizování zvukových nahrávek a hudební vydavatelské činnosti</v>
      </c>
    </row>
    <row r="300" spans="13:26">
      <c r="M300" s="305">
        <f>IF(ISNUMBER(SEARCH(ZAKL_DATA!$B$29,N300)),MAX($M$2:M299)+1,0)</f>
        <v>298</v>
      </c>
      <c r="N300" s="306" t="s">
        <v>2060</v>
      </c>
      <c r="O300" s="323" t="s">
        <v>2061</v>
      </c>
      <c r="P300" s="308"/>
      <c r="Q300" s="309" t="str">
        <f>IFERROR(VLOOKUP(ROWS($Q$3:Q300),$M$3:$N$992,2,0),"")</f>
        <v>Rozhlasové vysílání</v>
      </c>
      <c r="R300">
        <f>IF(ISNUMBER(SEARCH('1Př1'!$A$32,N300)),MAX($M$2:M299)+1,0)</f>
        <v>298</v>
      </c>
      <c r="S300" s="306" t="s">
        <v>2060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306" t="s">
        <v>2060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306" t="s">
        <v>2060</v>
      </c>
      <c r="Z300" t="str">
        <f>IFERROR(VLOOKUP(ROWS($Z$3:Z300),$X$3:$Y$992,2,0),"")</f>
        <v>Rozhlasové vysílání</v>
      </c>
    </row>
    <row r="301" spans="13:26">
      <c r="M301" s="305">
        <f>IF(ISNUMBER(SEARCH(ZAKL_DATA!$B$29,N301)),MAX($M$2:M300)+1,0)</f>
        <v>299</v>
      </c>
      <c r="N301" s="306" t="s">
        <v>2062</v>
      </c>
      <c r="O301" s="323" t="s">
        <v>2063</v>
      </c>
      <c r="P301" s="308"/>
      <c r="Q301" s="309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306" t="s">
        <v>2062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306" t="s">
        <v>2062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306" t="s">
        <v>2062</v>
      </c>
      <c r="Z301" t="str">
        <f>IFERROR(VLOOKUP(ROWS($Z$3:Z301),$X$3:$Y$992,2,0),"")</f>
        <v>Tvorba televizních programů a televizní vysílání</v>
      </c>
    </row>
    <row r="302" spans="13:26">
      <c r="M302" s="305">
        <f>IF(ISNUMBER(SEARCH(ZAKL_DATA!$B$29,N302)),MAX($M$2:M301)+1,0)</f>
        <v>300</v>
      </c>
      <c r="N302" s="306" t="s">
        <v>2064</v>
      </c>
      <c r="O302" s="323" t="s">
        <v>2065</v>
      </c>
      <c r="P302" s="308"/>
      <c r="Q302" s="309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306" t="s">
        <v>2064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306" t="s">
        <v>2064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306" t="s">
        <v>2064</v>
      </c>
      <c r="Z302" t="str">
        <f>IFERROR(VLOOKUP(ROWS($Z$3:Z302),$X$3:$Y$992,2,0),"")</f>
        <v>Činnosti související s pevnou telekomunikační sítí</v>
      </c>
    </row>
    <row r="303" spans="13:26">
      <c r="M303" s="305">
        <f>IF(ISNUMBER(SEARCH(ZAKL_DATA!$B$29,N303)),MAX($M$2:M302)+1,0)</f>
        <v>301</v>
      </c>
      <c r="N303" s="306" t="s">
        <v>2066</v>
      </c>
      <c r="O303" s="323" t="s">
        <v>2067</v>
      </c>
      <c r="P303" s="308"/>
      <c r="Q303" s="309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306" t="s">
        <v>2066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306" t="s">
        <v>2066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306" t="s">
        <v>2066</v>
      </c>
      <c r="Z303" t="str">
        <f>IFERROR(VLOOKUP(ROWS($Z$3:Z303),$X$3:$Y$992,2,0),"")</f>
        <v>Činnosti související s bezdrátovou telekomunikační sítí</v>
      </c>
    </row>
    <row r="304" spans="13:26">
      <c r="M304" s="305">
        <f>IF(ISNUMBER(SEARCH(ZAKL_DATA!$B$29,N304)),MAX($M$2:M303)+1,0)</f>
        <v>302</v>
      </c>
      <c r="N304" s="306" t="s">
        <v>2068</v>
      </c>
      <c r="O304" s="323" t="s">
        <v>2069</v>
      </c>
      <c r="P304" s="308"/>
      <c r="Q304" s="309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306" t="s">
        <v>2068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306" t="s">
        <v>2068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306" t="s">
        <v>2068</v>
      </c>
      <c r="Z304" t="str">
        <f>IFERROR(VLOOKUP(ROWS($Z$3:Z304),$X$3:$Y$992,2,0),"")</f>
        <v>Činnosti související se satelitní telekomunikační sítí</v>
      </c>
    </row>
    <row r="305" spans="13:26">
      <c r="M305" s="305">
        <f>IF(ISNUMBER(SEARCH(ZAKL_DATA!$B$29,N305)),MAX($M$2:M304)+1,0)</f>
        <v>303</v>
      </c>
      <c r="N305" s="306" t="s">
        <v>2070</v>
      </c>
      <c r="O305" s="323" t="s">
        <v>2071</v>
      </c>
      <c r="P305" s="308"/>
      <c r="Q305" s="309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306" t="s">
        <v>2070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306" t="s">
        <v>2070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306" t="s">
        <v>2070</v>
      </c>
      <c r="Z305" t="str">
        <f>IFERROR(VLOOKUP(ROWS($Z$3:Z305),$X$3:$Y$992,2,0),"")</f>
        <v>Ostatní telekomunikační činnosti</v>
      </c>
    </row>
    <row r="306" spans="13:26">
      <c r="M306" s="305">
        <f>IF(ISNUMBER(SEARCH(ZAKL_DATA!$B$29,N306)),MAX($M$2:M305)+1,0)</f>
        <v>304</v>
      </c>
      <c r="N306" s="306" t="s">
        <v>2072</v>
      </c>
      <c r="O306" s="323" t="s">
        <v>2073</v>
      </c>
      <c r="P306" s="308"/>
      <c r="Q306" s="309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306" t="s">
        <v>2072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306" t="s">
        <v>2072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306" t="s">
        <v>2072</v>
      </c>
      <c r="Z306" t="str">
        <f>IFERROR(VLOOKUP(ROWS($Z$3:Z306),$X$3:$Y$992,2,0),"")</f>
        <v>Činnosti souvis.se zprac.dat a hostingem;činnosti souvis.s web.portály</v>
      </c>
    </row>
    <row r="307" spans="13:26">
      <c r="M307" s="305">
        <f>IF(ISNUMBER(SEARCH(ZAKL_DATA!$B$29,N307)),MAX($M$2:M306)+1,0)</f>
        <v>305</v>
      </c>
      <c r="N307" s="306" t="s">
        <v>2074</v>
      </c>
      <c r="O307" s="323" t="s">
        <v>2075</v>
      </c>
      <c r="P307" s="308"/>
      <c r="Q307" s="309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306" t="s">
        <v>2074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306" t="s">
        <v>2074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306" t="s">
        <v>2074</v>
      </c>
      <c r="Z307" t="str">
        <f>IFERROR(VLOOKUP(ROWS($Z$3:Z307),$X$3:$Y$992,2,0),"")</f>
        <v>Ostatní informační činnosti</v>
      </c>
    </row>
    <row r="308" spans="13:26">
      <c r="M308" s="305">
        <f>IF(ISNUMBER(SEARCH(ZAKL_DATA!$B$29,N308)),MAX($M$2:M307)+1,0)</f>
        <v>306</v>
      </c>
      <c r="N308" s="306" t="s">
        <v>2076</v>
      </c>
      <c r="O308" s="323" t="s">
        <v>2077</v>
      </c>
      <c r="P308" s="308"/>
      <c r="Q308" s="309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306" t="s">
        <v>2076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306" t="s">
        <v>2076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306" t="s">
        <v>2076</v>
      </c>
      <c r="Z308" t="str">
        <f>IFERROR(VLOOKUP(ROWS($Z$3:Z308),$X$3:$Y$992,2,0),"")</f>
        <v>Peněžní zprostředkování</v>
      </c>
    </row>
    <row r="309" spans="13:26">
      <c r="M309" s="305">
        <f>IF(ISNUMBER(SEARCH(ZAKL_DATA!$B$29,N309)),MAX($M$2:M308)+1,0)</f>
        <v>307</v>
      </c>
      <c r="N309" s="306" t="s">
        <v>2078</v>
      </c>
      <c r="O309" s="323" t="s">
        <v>2079</v>
      </c>
      <c r="P309" s="308"/>
      <c r="Q309" s="309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306" t="s">
        <v>2078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306" t="s">
        <v>2078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306" t="s">
        <v>2078</v>
      </c>
      <c r="Z309" t="str">
        <f>IFERROR(VLOOKUP(ROWS($Z$3:Z309),$X$3:$Y$992,2,0),"")</f>
        <v>Činnosti holdingových společností</v>
      </c>
    </row>
    <row r="310" spans="13:26">
      <c r="M310" s="305">
        <f>IF(ISNUMBER(SEARCH(ZAKL_DATA!$B$29,N310)),MAX($M$2:M309)+1,0)</f>
        <v>308</v>
      </c>
      <c r="N310" s="306" t="s">
        <v>2080</v>
      </c>
      <c r="O310" s="323" t="s">
        <v>2081</v>
      </c>
      <c r="P310" s="308"/>
      <c r="Q310" s="309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306" t="s">
        <v>2080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306" t="s">
        <v>2080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306" t="s">
        <v>2080</v>
      </c>
      <c r="Z310" t="str">
        <f>IFERROR(VLOOKUP(ROWS($Z$3:Z310),$X$3:$Y$992,2,0),"")</f>
        <v>Činnosti trustů, fondů a podobných finančních subjektů</v>
      </c>
    </row>
    <row r="311" spans="13:26">
      <c r="M311" s="305">
        <f>IF(ISNUMBER(SEARCH(ZAKL_DATA!$B$29,N311)),MAX($M$2:M310)+1,0)</f>
        <v>309</v>
      </c>
      <c r="N311" s="306" t="s">
        <v>2082</v>
      </c>
      <c r="O311" s="323" t="s">
        <v>2083</v>
      </c>
      <c r="P311" s="308"/>
      <c r="Q311" s="309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306" t="s">
        <v>2082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306" t="s">
        <v>2082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306" t="s">
        <v>2082</v>
      </c>
      <c r="Z311" t="str">
        <f>IFERROR(VLOOKUP(ROWS($Z$3:Z311),$X$3:$Y$992,2,0),"")</f>
        <v>Ostatní finanční zprostředkování</v>
      </c>
    </row>
    <row r="312" spans="13:26">
      <c r="M312" s="305">
        <f>IF(ISNUMBER(SEARCH(ZAKL_DATA!$B$29,N312)),MAX($M$2:M311)+1,0)</f>
        <v>310</v>
      </c>
      <c r="N312" s="306" t="s">
        <v>294</v>
      </c>
      <c r="O312" s="323" t="s">
        <v>2084</v>
      </c>
      <c r="P312" s="308"/>
      <c r="Q312" s="309" t="str">
        <f>IFERROR(VLOOKUP(ROWS($Q$3:Q312),$M$3:$N$992,2,0),"")</f>
        <v>Pojištění</v>
      </c>
      <c r="R312">
        <f>IF(ISNUMBER(SEARCH('1Př1'!$A$32,N312)),MAX($M$2:M311)+1,0)</f>
        <v>310</v>
      </c>
      <c r="S312" s="306" t="s">
        <v>294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306" t="s">
        <v>294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306" t="s">
        <v>294</v>
      </c>
      <c r="Z312" t="str">
        <f>IFERROR(VLOOKUP(ROWS($Z$3:Z312),$X$3:$Y$992,2,0),"")</f>
        <v>Pojištění</v>
      </c>
    </row>
    <row r="313" spans="13:26">
      <c r="M313" s="305">
        <f>IF(ISNUMBER(SEARCH(ZAKL_DATA!$B$29,N313)),MAX($M$2:M312)+1,0)</f>
        <v>311</v>
      </c>
      <c r="N313" s="306" t="s">
        <v>2085</v>
      </c>
      <c r="O313" s="323" t="s">
        <v>2086</v>
      </c>
      <c r="P313" s="308"/>
      <c r="Q313" s="309" t="str">
        <f>IFERROR(VLOOKUP(ROWS($Q$3:Q313),$M$3:$N$992,2,0),"")</f>
        <v>Zajištění</v>
      </c>
      <c r="R313">
        <f>IF(ISNUMBER(SEARCH('1Př1'!$A$32,N313)),MAX($M$2:M312)+1,0)</f>
        <v>311</v>
      </c>
      <c r="S313" s="306" t="s">
        <v>2085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306" t="s">
        <v>2085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306" t="s">
        <v>2085</v>
      </c>
      <c r="Z313" t="str">
        <f>IFERROR(VLOOKUP(ROWS($Z$3:Z313),$X$3:$Y$992,2,0),"")</f>
        <v>Zajištění</v>
      </c>
    </row>
    <row r="314" spans="13:26">
      <c r="M314" s="305">
        <f>IF(ISNUMBER(SEARCH(ZAKL_DATA!$B$29,N314)),MAX($M$2:M313)+1,0)</f>
        <v>312</v>
      </c>
      <c r="N314" s="306" t="s">
        <v>2087</v>
      </c>
      <c r="O314" s="323" t="s">
        <v>2088</v>
      </c>
      <c r="P314" s="308"/>
      <c r="Q314" s="309" t="str">
        <f>IFERROR(VLOOKUP(ROWS($Q$3:Q314),$M$3:$N$992,2,0),"")</f>
        <v>Penzijní financování</v>
      </c>
      <c r="R314">
        <f>IF(ISNUMBER(SEARCH('1Př1'!$A$32,N314)),MAX($M$2:M313)+1,0)</f>
        <v>312</v>
      </c>
      <c r="S314" s="306" t="s">
        <v>2087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306" t="s">
        <v>2087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306" t="s">
        <v>2087</v>
      </c>
      <c r="Z314" t="str">
        <f>IFERROR(VLOOKUP(ROWS($Z$3:Z314),$X$3:$Y$992,2,0),"")</f>
        <v>Penzijní financování</v>
      </c>
    </row>
    <row r="315" spans="13:26">
      <c r="M315" s="305">
        <f>IF(ISNUMBER(SEARCH(ZAKL_DATA!$B$29,N315)),MAX($M$2:M314)+1,0)</f>
        <v>313</v>
      </c>
      <c r="N315" s="306" t="s">
        <v>2089</v>
      </c>
      <c r="O315" s="323" t="s">
        <v>2090</v>
      </c>
      <c r="P315" s="308"/>
      <c r="Q315" s="309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306" t="s">
        <v>2089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306" t="s">
        <v>2089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306" t="s">
        <v>2089</v>
      </c>
      <c r="Z315" t="str">
        <f>IFERROR(VLOOKUP(ROWS($Z$3:Z315),$X$3:$Y$992,2,0),"")</f>
        <v>Pomocné činnosti související s fin.zprostřed.,kromě pojišť.a penzij.fin.</v>
      </c>
    </row>
    <row r="316" spans="13:26">
      <c r="M316" s="305">
        <f>IF(ISNUMBER(SEARCH(ZAKL_DATA!$B$29,N316)),MAX($M$2:M315)+1,0)</f>
        <v>314</v>
      </c>
      <c r="N316" s="306" t="s">
        <v>2091</v>
      </c>
      <c r="O316" s="323" t="s">
        <v>2092</v>
      </c>
      <c r="P316" s="308"/>
      <c r="Q316" s="309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306" t="s">
        <v>2091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306" t="s">
        <v>2091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306" t="s">
        <v>2091</v>
      </c>
      <c r="Z316" t="str">
        <f>IFERROR(VLOOKUP(ROWS($Z$3:Z316),$X$3:$Y$992,2,0),"")</f>
        <v>Pomocné činnosti související s pojišťovnictvím a penzijním financováním</v>
      </c>
    </row>
    <row r="317" spans="13:26">
      <c r="M317" s="305">
        <f>IF(ISNUMBER(SEARCH(ZAKL_DATA!$B$29,N317)),MAX($M$2:M316)+1,0)</f>
        <v>315</v>
      </c>
      <c r="N317" s="306" t="s">
        <v>2093</v>
      </c>
      <c r="O317" s="323" t="s">
        <v>2094</v>
      </c>
      <c r="P317" s="308"/>
      <c r="Q317" s="309" t="str">
        <f>IFERROR(VLOOKUP(ROWS($Q$3:Q317),$M$3:$N$992,2,0),"")</f>
        <v>Správa fondů</v>
      </c>
      <c r="R317">
        <f>IF(ISNUMBER(SEARCH('1Př1'!$A$32,N317)),MAX($M$2:M316)+1,0)</f>
        <v>315</v>
      </c>
      <c r="S317" s="306" t="s">
        <v>2093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306" t="s">
        <v>2093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306" t="s">
        <v>2093</v>
      </c>
      <c r="Z317" t="str">
        <f>IFERROR(VLOOKUP(ROWS($Z$3:Z317),$X$3:$Y$992,2,0),"")</f>
        <v>Správa fondů</v>
      </c>
    </row>
    <row r="318" spans="13:26">
      <c r="M318" s="305">
        <f>IF(ISNUMBER(SEARCH(ZAKL_DATA!$B$29,N318)),MAX($M$2:M317)+1,0)</f>
        <v>316</v>
      </c>
      <c r="N318" s="306" t="s">
        <v>2095</v>
      </c>
      <c r="O318" s="323" t="s">
        <v>2096</v>
      </c>
      <c r="P318" s="308"/>
      <c r="Q318" s="309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306" t="s">
        <v>2095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306" t="s">
        <v>2095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306" t="s">
        <v>2095</v>
      </c>
      <c r="Z318" t="str">
        <f>IFERROR(VLOOKUP(ROWS($Z$3:Z318),$X$3:$Y$992,2,0),"")</f>
        <v>Nákup a následný prodej vlastních nemovitostí</v>
      </c>
    </row>
    <row r="319" spans="13:26">
      <c r="M319" s="305">
        <f>IF(ISNUMBER(SEARCH(ZAKL_DATA!$B$29,N319)),MAX($M$2:M318)+1,0)</f>
        <v>317</v>
      </c>
      <c r="N319" s="306" t="s">
        <v>2097</v>
      </c>
      <c r="O319" s="323" t="s">
        <v>2098</v>
      </c>
      <c r="P319" s="308"/>
      <c r="Q319" s="309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306" t="s">
        <v>2097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306" t="s">
        <v>2097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306" t="s">
        <v>2097</v>
      </c>
      <c r="Z319" t="str">
        <f>IFERROR(VLOOKUP(ROWS($Z$3:Z319),$X$3:$Y$992,2,0),"")</f>
        <v>Pronájem a správa vlastních nebo pronajatých nemovitostí</v>
      </c>
    </row>
    <row r="320" spans="13:26">
      <c r="M320" s="305">
        <f>IF(ISNUMBER(SEARCH(ZAKL_DATA!$B$29,N320)),MAX($M$2:M319)+1,0)</f>
        <v>318</v>
      </c>
      <c r="N320" s="306" t="s">
        <v>2099</v>
      </c>
      <c r="O320" s="323" t="s">
        <v>2100</v>
      </c>
      <c r="P320" s="308"/>
      <c r="Q320" s="309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306" t="s">
        <v>2099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306" t="s">
        <v>2099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306" t="s">
        <v>2099</v>
      </c>
      <c r="Z320" t="str">
        <f>IFERROR(VLOOKUP(ROWS($Z$3:Z320),$X$3:$Y$992,2,0),"")</f>
        <v>Činnosti v oblasti nemovitostí na základě smlouvy nebo dohody</v>
      </c>
    </row>
    <row r="321" spans="13:26">
      <c r="M321" s="305">
        <f>IF(ISNUMBER(SEARCH(ZAKL_DATA!$B$29,N321)),MAX($M$2:M320)+1,0)</f>
        <v>319</v>
      </c>
      <c r="N321" s="306" t="s">
        <v>2101</v>
      </c>
      <c r="O321" s="323" t="s">
        <v>2102</v>
      </c>
      <c r="P321" s="308"/>
      <c r="Q321" s="309" t="str">
        <f>IFERROR(VLOOKUP(ROWS($Q$3:Q321),$M$3:$N$992,2,0),"")</f>
        <v>Právní činnosti</v>
      </c>
      <c r="R321">
        <f>IF(ISNUMBER(SEARCH('1Př1'!$A$32,N321)),MAX($M$2:M320)+1,0)</f>
        <v>319</v>
      </c>
      <c r="S321" s="306" t="s">
        <v>2101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306" t="s">
        <v>2101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306" t="s">
        <v>2101</v>
      </c>
      <c r="Z321" t="str">
        <f>IFERROR(VLOOKUP(ROWS($Z$3:Z321),$X$3:$Y$992,2,0),"")</f>
        <v>Právní činnosti</v>
      </c>
    </row>
    <row r="322" spans="13:26">
      <c r="M322" s="305">
        <f>IF(ISNUMBER(SEARCH(ZAKL_DATA!$B$29,N322)),MAX($M$2:M321)+1,0)</f>
        <v>320</v>
      </c>
      <c r="N322" s="306" t="s">
        <v>2103</v>
      </c>
      <c r="O322" s="323" t="s">
        <v>2104</v>
      </c>
      <c r="P322" s="308"/>
      <c r="Q322" s="309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306" t="s">
        <v>2103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306" t="s">
        <v>2103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306" t="s">
        <v>2103</v>
      </c>
      <c r="Z322" t="str">
        <f>IFERROR(VLOOKUP(ROWS($Z$3:Z322),$X$3:$Y$992,2,0),"")</f>
        <v>Účetnické a auditorské činnosti; daňové poradenství</v>
      </c>
    </row>
    <row r="323" spans="13:26">
      <c r="M323" s="305">
        <f>IF(ISNUMBER(SEARCH(ZAKL_DATA!$B$29,N323)),MAX($M$2:M322)+1,0)</f>
        <v>321</v>
      </c>
      <c r="N323" s="306" t="s">
        <v>2105</v>
      </c>
      <c r="O323" s="323" t="s">
        <v>2106</v>
      </c>
      <c r="P323" s="308"/>
      <c r="Q323" s="309" t="str">
        <f>IFERROR(VLOOKUP(ROWS($Q$3:Q323),$M$3:$N$992,2,0),"")</f>
        <v>Činnosti vedení podniků</v>
      </c>
      <c r="R323">
        <f>IF(ISNUMBER(SEARCH('1Př1'!$A$32,N323)),MAX($M$2:M322)+1,0)</f>
        <v>321</v>
      </c>
      <c r="S323" s="306" t="s">
        <v>2105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306" t="s">
        <v>2105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306" t="s">
        <v>2105</v>
      </c>
      <c r="Z323" t="str">
        <f>IFERROR(VLOOKUP(ROWS($Z$3:Z323),$X$3:$Y$992,2,0),"")</f>
        <v>Činnosti vedení podniků</v>
      </c>
    </row>
    <row r="324" spans="13:26">
      <c r="M324" s="305">
        <f>IF(ISNUMBER(SEARCH(ZAKL_DATA!$B$29,N324)),MAX($M$2:M323)+1,0)</f>
        <v>322</v>
      </c>
      <c r="N324" s="306" t="s">
        <v>2107</v>
      </c>
      <c r="O324" s="323" t="s">
        <v>2108</v>
      </c>
      <c r="P324" s="308"/>
      <c r="Q324" s="309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306" t="s">
        <v>2107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306" t="s">
        <v>2107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306" t="s">
        <v>2107</v>
      </c>
      <c r="Z324" t="str">
        <f>IFERROR(VLOOKUP(ROWS($Z$3:Z324),$X$3:$Y$992,2,0),"")</f>
        <v>Poradenství v oblasti řízení</v>
      </c>
    </row>
    <row r="325" spans="13:26">
      <c r="M325" s="305">
        <f>IF(ISNUMBER(SEARCH(ZAKL_DATA!$B$29,N325)),MAX($M$2:M324)+1,0)</f>
        <v>323</v>
      </c>
      <c r="N325" s="306" t="s">
        <v>2109</v>
      </c>
      <c r="O325" s="323" t="s">
        <v>2110</v>
      </c>
      <c r="P325" s="308"/>
      <c r="Q325" s="309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306" t="s">
        <v>2109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306" t="s">
        <v>2109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306" t="s">
        <v>2109</v>
      </c>
      <c r="Z325" t="str">
        <f>IFERROR(VLOOKUP(ROWS($Z$3:Z325),$X$3:$Y$992,2,0),"")</f>
        <v>Architektonické a inženýrské činnosti a související technické poradenství</v>
      </c>
    </row>
    <row r="326" spans="13:26">
      <c r="M326" s="305">
        <f>IF(ISNUMBER(SEARCH(ZAKL_DATA!$B$29,N326)),MAX($M$2:M325)+1,0)</f>
        <v>324</v>
      </c>
      <c r="N326" s="306" t="s">
        <v>2111</v>
      </c>
      <c r="O326" s="323" t="s">
        <v>2112</v>
      </c>
      <c r="P326" s="308"/>
      <c r="Q326" s="309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306" t="s">
        <v>2111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306" t="s">
        <v>2111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306" t="s">
        <v>2111</v>
      </c>
      <c r="Z326" t="str">
        <f>IFERROR(VLOOKUP(ROWS($Z$3:Z326),$X$3:$Y$992,2,0),"")</f>
        <v>Technické zkoušky a analýzy</v>
      </c>
    </row>
    <row r="327" spans="13:26">
      <c r="M327" s="305">
        <f>IF(ISNUMBER(SEARCH(ZAKL_DATA!$B$29,N327)),MAX($M$2:M326)+1,0)</f>
        <v>325</v>
      </c>
      <c r="N327" s="306" t="s">
        <v>2113</v>
      </c>
      <c r="O327" s="323" t="s">
        <v>2114</v>
      </c>
      <c r="P327" s="308"/>
      <c r="Q327" s="309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306" t="s">
        <v>2113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306" t="s">
        <v>2113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306" t="s">
        <v>2113</v>
      </c>
      <c r="Z327" t="str">
        <f>IFERROR(VLOOKUP(ROWS($Z$3:Z327),$X$3:$Y$992,2,0),"")</f>
        <v>Výzkum a vývoj v oblasti přírodních a technických věd</v>
      </c>
    </row>
    <row r="328" spans="13:26">
      <c r="M328" s="305">
        <f>IF(ISNUMBER(SEARCH(ZAKL_DATA!$B$29,N328)),MAX($M$2:M327)+1,0)</f>
        <v>326</v>
      </c>
      <c r="N328" s="306" t="s">
        <v>2115</v>
      </c>
      <c r="O328" s="323" t="s">
        <v>2116</v>
      </c>
      <c r="P328" s="308"/>
      <c r="Q328" s="309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306" t="s">
        <v>2115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306" t="s">
        <v>2115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306" t="s">
        <v>2115</v>
      </c>
      <c r="Z328" t="str">
        <f>IFERROR(VLOOKUP(ROWS($Z$3:Z328),$X$3:$Y$992,2,0),"")</f>
        <v>Těžba a úprava uranových a thoriových rud</v>
      </c>
    </row>
    <row r="329" spans="13:26">
      <c r="M329" s="305">
        <f>IF(ISNUMBER(SEARCH(ZAKL_DATA!$B$29,N329)),MAX($M$2:M328)+1,0)</f>
        <v>327</v>
      </c>
      <c r="N329" s="306" t="s">
        <v>2117</v>
      </c>
      <c r="O329" s="323" t="s">
        <v>2118</v>
      </c>
      <c r="P329" s="308"/>
      <c r="Q329" s="309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306" t="s">
        <v>2117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306" t="s">
        <v>2117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306" t="s">
        <v>2117</v>
      </c>
      <c r="Z329" t="str">
        <f>IFERROR(VLOOKUP(ROWS($Z$3:Z329),$X$3:$Y$992,2,0),"")</f>
        <v>Výzkum a vývoj v oblasti společenských a humanitních věd</v>
      </c>
    </row>
    <row r="330" spans="13:26">
      <c r="M330" s="305">
        <f>IF(ISNUMBER(SEARCH(ZAKL_DATA!$B$29,N330)),MAX($M$2:M329)+1,0)</f>
        <v>328</v>
      </c>
      <c r="N330" s="306" t="s">
        <v>2119</v>
      </c>
      <c r="O330" s="323" t="s">
        <v>2120</v>
      </c>
      <c r="P330" s="308"/>
      <c r="Q330" s="309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306" t="s">
        <v>2119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306" t="s">
        <v>2119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306" t="s">
        <v>2119</v>
      </c>
      <c r="Z330" t="str">
        <f>IFERROR(VLOOKUP(ROWS($Z$3:Z330),$X$3:$Y$992,2,0),"")</f>
        <v>Těžba a úprava ostatních neželezných rud</v>
      </c>
    </row>
    <row r="331" spans="13:26">
      <c r="M331" s="305">
        <f>IF(ISNUMBER(SEARCH(ZAKL_DATA!$B$29,N331)),MAX($M$2:M330)+1,0)</f>
        <v>329</v>
      </c>
      <c r="N331" s="306" t="s">
        <v>2121</v>
      </c>
      <c r="O331" s="323" t="s">
        <v>2122</v>
      </c>
      <c r="P331" s="308"/>
      <c r="Q331" s="309" t="str">
        <f>IFERROR(VLOOKUP(ROWS($Q$3:Q331),$M$3:$N$992,2,0),"")</f>
        <v>Reklamní činnosti</v>
      </c>
      <c r="R331">
        <f>IF(ISNUMBER(SEARCH('1Př1'!$A$32,N331)),MAX($M$2:M330)+1,0)</f>
        <v>329</v>
      </c>
      <c r="S331" s="306" t="s">
        <v>2121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306" t="s">
        <v>2121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306" t="s">
        <v>2121</v>
      </c>
      <c r="Z331" t="str">
        <f>IFERROR(VLOOKUP(ROWS($Z$3:Z331),$X$3:$Y$992,2,0),"")</f>
        <v>Reklamní činnosti</v>
      </c>
    </row>
    <row r="332" spans="13:26">
      <c r="M332" s="305">
        <f>IF(ISNUMBER(SEARCH(ZAKL_DATA!$B$29,N332)),MAX($M$2:M331)+1,0)</f>
        <v>330</v>
      </c>
      <c r="N332" s="306" t="s">
        <v>2123</v>
      </c>
      <c r="O332" s="323" t="s">
        <v>2124</v>
      </c>
      <c r="P332" s="308"/>
      <c r="Q332" s="309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306" t="s">
        <v>2123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306" t="s">
        <v>2123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306" t="s">
        <v>2123</v>
      </c>
      <c r="Z332" t="str">
        <f>IFERROR(VLOOKUP(ROWS($Z$3:Z332),$X$3:$Y$992,2,0),"")</f>
        <v>Průzkum trhu a veřejného mínění</v>
      </c>
    </row>
    <row r="333" spans="13:26">
      <c r="M333" s="305">
        <f>IF(ISNUMBER(SEARCH(ZAKL_DATA!$B$29,N333)),MAX($M$2:M332)+1,0)</f>
        <v>331</v>
      </c>
      <c r="N333" s="306" t="s">
        <v>2125</v>
      </c>
      <c r="O333" s="323" t="s">
        <v>2126</v>
      </c>
      <c r="P333" s="308"/>
      <c r="Q333" s="309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306" t="s">
        <v>2125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306" t="s">
        <v>2125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306" t="s">
        <v>2125</v>
      </c>
      <c r="Z333" t="str">
        <f>IFERROR(VLOOKUP(ROWS($Z$3:Z333),$X$3:$Y$992,2,0),"")</f>
        <v>Specializované návrhářské činnosti</v>
      </c>
    </row>
    <row r="334" spans="13:26">
      <c r="M334" s="305">
        <f>IF(ISNUMBER(SEARCH(ZAKL_DATA!$B$29,N334)),MAX($M$2:M333)+1,0)</f>
        <v>332</v>
      </c>
      <c r="N334" s="306" t="s">
        <v>2127</v>
      </c>
      <c r="O334" s="323" t="s">
        <v>2128</v>
      </c>
      <c r="P334" s="308"/>
      <c r="Q334" s="309" t="str">
        <f>IFERROR(VLOOKUP(ROWS($Q$3:Q334),$M$3:$N$992,2,0),"")</f>
        <v>Fotografické činnosti</v>
      </c>
      <c r="R334">
        <f>IF(ISNUMBER(SEARCH('1Př1'!$A$32,N334)),MAX($M$2:M333)+1,0)</f>
        <v>332</v>
      </c>
      <c r="S334" s="306" t="s">
        <v>2127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306" t="s">
        <v>2127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306" t="s">
        <v>2127</v>
      </c>
      <c r="Z334" t="str">
        <f>IFERROR(VLOOKUP(ROWS($Z$3:Z334),$X$3:$Y$992,2,0),"")</f>
        <v>Fotografické činnosti</v>
      </c>
    </row>
    <row r="335" spans="13:26">
      <c r="M335" s="305">
        <f>IF(ISNUMBER(SEARCH(ZAKL_DATA!$B$29,N335)),MAX($M$2:M334)+1,0)</f>
        <v>333</v>
      </c>
      <c r="N335" s="306" t="s">
        <v>2129</v>
      </c>
      <c r="O335" s="323" t="s">
        <v>2130</v>
      </c>
      <c r="P335" s="308"/>
      <c r="Q335" s="309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306" t="s">
        <v>2129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306" t="s">
        <v>2129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306" t="s">
        <v>2129</v>
      </c>
      <c r="Z335" t="str">
        <f>IFERROR(VLOOKUP(ROWS($Z$3:Z335),$X$3:$Y$992,2,0),"")</f>
        <v>Překladatelské a tlumočnické činnosti</v>
      </c>
    </row>
    <row r="336" spans="13:26">
      <c r="M336" s="305">
        <f>IF(ISNUMBER(SEARCH(ZAKL_DATA!$B$29,N336)),MAX($M$2:M335)+1,0)</f>
        <v>334</v>
      </c>
      <c r="N336" s="306" t="s">
        <v>2131</v>
      </c>
      <c r="O336" s="323" t="s">
        <v>2132</v>
      </c>
      <c r="P336" s="308"/>
      <c r="Q336" s="309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306" t="s">
        <v>2131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306" t="s">
        <v>2131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306" t="s">
        <v>2131</v>
      </c>
      <c r="Z336" t="str">
        <f>IFERROR(VLOOKUP(ROWS($Z$3:Z336),$X$3:$Y$992,2,0),"")</f>
        <v>Ostatní profesní, vědecké a technické činnosti j. n.</v>
      </c>
    </row>
    <row r="337" spans="13:26">
      <c r="M337" s="305">
        <f>IF(ISNUMBER(SEARCH(ZAKL_DATA!$B$29,N337)),MAX($M$2:M336)+1,0)</f>
        <v>335</v>
      </c>
      <c r="N337" s="306" t="s">
        <v>2133</v>
      </c>
      <c r="O337" s="323" t="s">
        <v>2134</v>
      </c>
      <c r="P337" s="308"/>
      <c r="Q337" s="309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306" t="s">
        <v>2133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306" t="s">
        <v>2133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306" t="s">
        <v>2133</v>
      </c>
      <c r="Z337" t="str">
        <f>IFERROR(VLOOKUP(ROWS($Z$3:Z337),$X$3:$Y$992,2,0),"")</f>
        <v>Pronájem a leasing motorových vozidel, kromě motocyklů</v>
      </c>
    </row>
    <row r="338" spans="13:26">
      <c r="M338" s="305">
        <f>IF(ISNUMBER(SEARCH(ZAKL_DATA!$B$29,N338)),MAX($M$2:M337)+1,0)</f>
        <v>336</v>
      </c>
      <c r="N338" s="306" t="s">
        <v>2135</v>
      </c>
      <c r="O338" s="323" t="s">
        <v>2136</v>
      </c>
      <c r="P338" s="308"/>
      <c r="Q338" s="309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306" t="s">
        <v>2135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306" t="s">
        <v>2135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306" t="s">
        <v>2135</v>
      </c>
      <c r="Z338" t="str">
        <f>IFERROR(VLOOKUP(ROWS($Z$3:Z338),$X$3:$Y$992,2,0),"")</f>
        <v>Pronájem a leasing výrobků pro osobní potřebu a převážně pro domácnost</v>
      </c>
    </row>
    <row r="339" spans="13:26">
      <c r="M339" s="305">
        <f>IF(ISNUMBER(SEARCH(ZAKL_DATA!$B$29,N339)),MAX($M$2:M338)+1,0)</f>
        <v>337</v>
      </c>
      <c r="N339" s="306" t="s">
        <v>2137</v>
      </c>
      <c r="O339" s="323" t="s">
        <v>2138</v>
      </c>
      <c r="P339" s="308"/>
      <c r="Q339" s="309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306" t="s">
        <v>2137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306" t="s">
        <v>2137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306" t="s">
        <v>2137</v>
      </c>
      <c r="Z339" t="str">
        <f>IFERROR(VLOOKUP(ROWS($Z$3:Z339),$X$3:$Y$992,2,0),"")</f>
        <v>Pronájem a leasing ostatních strojů, zařízení a výrobků</v>
      </c>
    </row>
    <row r="340" spans="13:26">
      <c r="M340" s="305">
        <f>IF(ISNUMBER(SEARCH(ZAKL_DATA!$B$29,N340)),MAX($M$2:M339)+1,0)</f>
        <v>338</v>
      </c>
      <c r="N340" s="306" t="s">
        <v>2139</v>
      </c>
      <c r="O340" s="323" t="s">
        <v>2140</v>
      </c>
      <c r="P340" s="308"/>
      <c r="Q340" s="309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306" t="s">
        <v>2139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306" t="s">
        <v>2139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306" t="s">
        <v>2139</v>
      </c>
      <c r="Z340" t="str">
        <f>IFERROR(VLOOKUP(ROWS($Z$3:Z340),$X$3:$Y$992,2,0),"")</f>
        <v>Leasing duševního vlast.a podobných produktů,kromě děl chrán.autor.právem</v>
      </c>
    </row>
    <row r="341" spans="13:26">
      <c r="M341" s="305">
        <f>IF(ISNUMBER(SEARCH(ZAKL_DATA!$B$29,N341)),MAX($M$2:M340)+1,0)</f>
        <v>339</v>
      </c>
      <c r="N341" s="306" t="s">
        <v>2141</v>
      </c>
      <c r="O341" s="323" t="s">
        <v>2142</v>
      </c>
      <c r="P341" s="308"/>
      <c r="Q341" s="309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306" t="s">
        <v>2141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306" t="s">
        <v>2141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306" t="s">
        <v>2141</v>
      </c>
      <c r="Z341" t="str">
        <f>IFERROR(VLOOKUP(ROWS($Z$3:Z341),$X$3:$Y$992,2,0),"")</f>
        <v>Činnosti agentur zprostředkujících zaměstnání</v>
      </c>
    </row>
    <row r="342" spans="13:26">
      <c r="M342" s="305">
        <f>IF(ISNUMBER(SEARCH(ZAKL_DATA!$B$29,N342)),MAX($M$2:M341)+1,0)</f>
        <v>340</v>
      </c>
      <c r="N342" s="306" t="s">
        <v>2143</v>
      </c>
      <c r="O342" s="323" t="s">
        <v>2144</v>
      </c>
      <c r="P342" s="308"/>
      <c r="Q342" s="309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306" t="s">
        <v>2143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306" t="s">
        <v>2143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306" t="s">
        <v>2143</v>
      </c>
      <c r="Z342" t="str">
        <f>IFERROR(VLOOKUP(ROWS($Z$3:Z342),$X$3:$Y$992,2,0),"")</f>
        <v>Činnosti agentur zprostředkujících práci na přechodnou dobu</v>
      </c>
    </row>
    <row r="343" spans="13:26">
      <c r="M343" s="305">
        <f>IF(ISNUMBER(SEARCH(ZAKL_DATA!$B$29,N343)),MAX($M$2:M342)+1,0)</f>
        <v>341</v>
      </c>
      <c r="N343" s="306" t="s">
        <v>2145</v>
      </c>
      <c r="O343" s="323" t="s">
        <v>2146</v>
      </c>
      <c r="P343" s="308"/>
      <c r="Q343" s="309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306" t="s">
        <v>2145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306" t="s">
        <v>2145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306" t="s">
        <v>2145</v>
      </c>
      <c r="Z343" t="str">
        <f>IFERROR(VLOOKUP(ROWS($Z$3:Z343),$X$3:$Y$992,2,0),"")</f>
        <v>Ostatní poskytování lidských zdrojů</v>
      </c>
    </row>
    <row r="344" spans="13:26">
      <c r="M344" s="305">
        <f>IF(ISNUMBER(SEARCH(ZAKL_DATA!$B$29,N344)),MAX($M$2:M343)+1,0)</f>
        <v>342</v>
      </c>
      <c r="N344" s="306" t="s">
        <v>2147</v>
      </c>
      <c r="O344" s="323" t="s">
        <v>2148</v>
      </c>
      <c r="P344" s="308"/>
      <c r="Q344" s="309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306" t="s">
        <v>2147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306" t="s">
        <v>2147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306" t="s">
        <v>2147</v>
      </c>
      <c r="Z344" t="str">
        <f>IFERROR(VLOOKUP(ROWS($Z$3:Z344),$X$3:$Y$992,2,0),"")</f>
        <v>Činnosti cestovních agentur a cestovních kanceláří</v>
      </c>
    </row>
    <row r="345" spans="13:26">
      <c r="M345" s="305">
        <f>IF(ISNUMBER(SEARCH(ZAKL_DATA!$B$29,N345)),MAX($M$2:M344)+1,0)</f>
        <v>343</v>
      </c>
      <c r="N345" s="306" t="s">
        <v>2149</v>
      </c>
      <c r="O345" s="323" t="s">
        <v>2150</v>
      </c>
      <c r="P345" s="308"/>
      <c r="Q345" s="309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306" t="s">
        <v>2149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306" t="s">
        <v>2149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306" t="s">
        <v>2149</v>
      </c>
      <c r="Z345" t="str">
        <f>IFERROR(VLOOKUP(ROWS($Z$3:Z345),$X$3:$Y$992,2,0),"")</f>
        <v>Ostatní rezervační a související činnosti</v>
      </c>
    </row>
    <row r="346" spans="13:26">
      <c r="M346" s="305">
        <f>IF(ISNUMBER(SEARCH(ZAKL_DATA!$B$29,N346)),MAX($M$2:M345)+1,0)</f>
        <v>344</v>
      </c>
      <c r="N346" s="306" t="s">
        <v>2151</v>
      </c>
      <c r="O346" s="323" t="s">
        <v>2152</v>
      </c>
      <c r="P346" s="308"/>
      <c r="Q346" s="309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306" t="s">
        <v>2151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306" t="s">
        <v>2151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306" t="s">
        <v>2151</v>
      </c>
      <c r="Z346" t="str">
        <f>IFERROR(VLOOKUP(ROWS($Z$3:Z346),$X$3:$Y$992,2,0),"")</f>
        <v>Činnosti soukromých bezpečnostních agentur</v>
      </c>
    </row>
    <row r="347" spans="13:26">
      <c r="M347" s="305">
        <f>IF(ISNUMBER(SEARCH(ZAKL_DATA!$B$29,N347)),MAX($M$2:M346)+1,0)</f>
        <v>345</v>
      </c>
      <c r="N347" s="306" t="s">
        <v>2153</v>
      </c>
      <c r="O347" s="323" t="s">
        <v>2154</v>
      </c>
      <c r="P347" s="308"/>
      <c r="Q347" s="309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306" t="s">
        <v>2153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306" t="s">
        <v>2153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306" t="s">
        <v>2153</v>
      </c>
      <c r="Z347" t="str">
        <f>IFERROR(VLOOKUP(ROWS($Z$3:Z347),$X$3:$Y$992,2,0),"")</f>
        <v>Činnosti související s provozem bezpečnostních systémů</v>
      </c>
    </row>
    <row r="348" spans="13:26">
      <c r="M348" s="305">
        <f>IF(ISNUMBER(SEARCH(ZAKL_DATA!$B$29,N348)),MAX($M$2:M347)+1,0)</f>
        <v>346</v>
      </c>
      <c r="N348" s="306" t="s">
        <v>2155</v>
      </c>
      <c r="O348" s="323" t="s">
        <v>2156</v>
      </c>
      <c r="P348" s="308"/>
      <c r="Q348" s="309" t="str">
        <f>IFERROR(VLOOKUP(ROWS($Q$3:Q348),$M$3:$N$992,2,0),"")</f>
        <v>Pátrací činnosti</v>
      </c>
      <c r="R348">
        <f>IF(ISNUMBER(SEARCH('1Př1'!$A$32,N348)),MAX($M$2:M347)+1,0)</f>
        <v>346</v>
      </c>
      <c r="S348" s="306" t="s">
        <v>2155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306" t="s">
        <v>2155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306" t="s">
        <v>2155</v>
      </c>
      <c r="Z348" t="str">
        <f>IFERROR(VLOOKUP(ROWS($Z$3:Z348),$X$3:$Y$992,2,0),"")</f>
        <v>Pátrací činnosti</v>
      </c>
    </row>
    <row r="349" spans="13:26">
      <c r="M349" s="305">
        <f>IF(ISNUMBER(SEARCH(ZAKL_DATA!$B$29,N349)),MAX($M$2:M348)+1,0)</f>
        <v>347</v>
      </c>
      <c r="N349" s="306" t="s">
        <v>2157</v>
      </c>
      <c r="O349" s="323" t="s">
        <v>2158</v>
      </c>
      <c r="P349" s="308"/>
      <c r="Q349" s="309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306" t="s">
        <v>2157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306" t="s">
        <v>2157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306" t="s">
        <v>2157</v>
      </c>
      <c r="Z349" t="str">
        <f>IFERROR(VLOOKUP(ROWS($Z$3:Z349),$X$3:$Y$992,2,0),"")</f>
        <v>Kombinované pomocné činnosti</v>
      </c>
    </row>
    <row r="350" spans="13:26">
      <c r="M350" s="305">
        <f>IF(ISNUMBER(SEARCH(ZAKL_DATA!$B$29,N350)),MAX($M$2:M349)+1,0)</f>
        <v>348</v>
      </c>
      <c r="N350" s="306" t="s">
        <v>2159</v>
      </c>
      <c r="O350" s="323" t="s">
        <v>2160</v>
      </c>
      <c r="P350" s="308"/>
      <c r="Q350" s="309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306" t="s">
        <v>2159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306" t="s">
        <v>2159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306" t="s">
        <v>2159</v>
      </c>
      <c r="Z350" t="str">
        <f>IFERROR(VLOOKUP(ROWS($Z$3:Z350),$X$3:$Y$992,2,0),"")</f>
        <v>Dobývání kamene pro výtv.nebo stav.účely,vápence,sádrovce,křídy,břidl.</v>
      </c>
    </row>
    <row r="351" spans="13:26">
      <c r="M351" s="305">
        <f>IF(ISNUMBER(SEARCH(ZAKL_DATA!$B$29,N351)),MAX($M$2:M350)+1,0)</f>
        <v>349</v>
      </c>
      <c r="N351" s="306" t="s">
        <v>2161</v>
      </c>
      <c r="O351" s="323" t="s">
        <v>2162</v>
      </c>
      <c r="P351" s="308"/>
      <c r="Q351" s="309" t="str">
        <f>IFERROR(VLOOKUP(ROWS($Q$3:Q351),$M$3:$N$992,2,0),"")</f>
        <v>Úklidové činnosti</v>
      </c>
      <c r="R351">
        <f>IF(ISNUMBER(SEARCH('1Př1'!$A$32,N351)),MAX($M$2:M350)+1,0)</f>
        <v>349</v>
      </c>
      <c r="S351" s="306" t="s">
        <v>2161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306" t="s">
        <v>2161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306" t="s">
        <v>2161</v>
      </c>
      <c r="Z351" t="str">
        <f>IFERROR(VLOOKUP(ROWS($Z$3:Z351),$X$3:$Y$992,2,0),"")</f>
        <v>Úklidové činnosti</v>
      </c>
    </row>
    <row r="352" spans="13:26">
      <c r="M352" s="305">
        <f>IF(ISNUMBER(SEARCH(ZAKL_DATA!$B$29,N352)),MAX($M$2:M351)+1,0)</f>
        <v>350</v>
      </c>
      <c r="N352" s="306" t="s">
        <v>2163</v>
      </c>
      <c r="O352" s="323" t="s">
        <v>2164</v>
      </c>
      <c r="P352" s="308"/>
      <c r="Q352" s="309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306" t="s">
        <v>2163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306" t="s">
        <v>2163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306" t="s">
        <v>2163</v>
      </c>
      <c r="Z352" t="str">
        <f>IFERROR(VLOOKUP(ROWS($Z$3:Z352),$X$3:$Y$992,2,0),"")</f>
        <v>Provoz pískoven a štěrkopískoven; těžba jílů a kaolinu</v>
      </c>
    </row>
    <row r="353" spans="13:26">
      <c r="M353" s="305">
        <f>IF(ISNUMBER(SEARCH(ZAKL_DATA!$B$29,N353)),MAX($M$2:M352)+1,0)</f>
        <v>351</v>
      </c>
      <c r="N353" s="306" t="s">
        <v>2165</v>
      </c>
      <c r="O353" s="323" t="s">
        <v>2166</v>
      </c>
      <c r="P353" s="308"/>
      <c r="Q353" s="309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306" t="s">
        <v>2165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306" t="s">
        <v>2165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306" t="s">
        <v>2165</v>
      </c>
      <c r="Z353" t="str">
        <f>IFERROR(VLOOKUP(ROWS($Z$3:Z353),$X$3:$Y$992,2,0),"")</f>
        <v>Činnosti související s úpravou krajiny</v>
      </c>
    </row>
    <row r="354" spans="13:26">
      <c r="M354" s="305">
        <f>IF(ISNUMBER(SEARCH(ZAKL_DATA!$B$29,N354)),MAX($M$2:M353)+1,0)</f>
        <v>352</v>
      </c>
      <c r="N354" s="306" t="s">
        <v>2167</v>
      </c>
      <c r="O354" s="323" t="s">
        <v>2168</v>
      </c>
      <c r="P354" s="308"/>
      <c r="Q354" s="309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306" t="s">
        <v>2167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306" t="s">
        <v>2167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306" t="s">
        <v>2167</v>
      </c>
      <c r="Z354" t="str">
        <f>IFERROR(VLOOKUP(ROWS($Z$3:Z354),$X$3:$Y$992,2,0),"")</f>
        <v>Administrativní a kancelářské činnosti</v>
      </c>
    </row>
    <row r="355" spans="13:26">
      <c r="M355" s="305">
        <f>IF(ISNUMBER(SEARCH(ZAKL_DATA!$B$29,N355)),MAX($M$2:M354)+1,0)</f>
        <v>353</v>
      </c>
      <c r="N355" s="306" t="s">
        <v>2169</v>
      </c>
      <c r="O355" s="323" t="s">
        <v>2170</v>
      </c>
      <c r="P355" s="308"/>
      <c r="Q355" s="309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306" t="s">
        <v>2169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306" t="s">
        <v>2169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306" t="s">
        <v>2169</v>
      </c>
      <c r="Z355" t="str">
        <f>IFERROR(VLOOKUP(ROWS($Z$3:Z355),$X$3:$Y$992,2,0),"")</f>
        <v>Činnosti zprostředkovatelských středisek po telefonu</v>
      </c>
    </row>
    <row r="356" spans="13:26">
      <c r="M356" s="305">
        <f>IF(ISNUMBER(SEARCH(ZAKL_DATA!$B$29,N356)),MAX($M$2:M355)+1,0)</f>
        <v>354</v>
      </c>
      <c r="N356" s="306" t="s">
        <v>2171</v>
      </c>
      <c r="O356" s="323" t="s">
        <v>2172</v>
      </c>
      <c r="P356" s="308"/>
      <c r="Q356" s="309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306" t="s">
        <v>2171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306" t="s">
        <v>2171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306" t="s">
        <v>2171</v>
      </c>
      <c r="Z356" t="str">
        <f>IFERROR(VLOOKUP(ROWS($Z$3:Z356),$X$3:$Y$992,2,0),"")</f>
        <v>Pořádání konferencí a hospodářských výstav</v>
      </c>
    </row>
    <row r="357" spans="13:26">
      <c r="M357" s="305">
        <f>IF(ISNUMBER(SEARCH(ZAKL_DATA!$B$29,N357)),MAX($M$2:M356)+1,0)</f>
        <v>355</v>
      </c>
      <c r="N357" s="306" t="s">
        <v>2173</v>
      </c>
      <c r="O357" s="323" t="s">
        <v>2174</v>
      </c>
      <c r="P357" s="308"/>
      <c r="Q357" s="309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306" t="s">
        <v>2173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306" t="s">
        <v>2173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306" t="s">
        <v>2173</v>
      </c>
      <c r="Z357" t="str">
        <f>IFERROR(VLOOKUP(ROWS($Z$3:Z357),$X$3:$Y$992,2,0),"")</f>
        <v>Podpůrné činnosti pro podnikání j. n.</v>
      </c>
    </row>
    <row r="358" spans="13:26">
      <c r="M358" s="305">
        <f>IF(ISNUMBER(SEARCH(ZAKL_DATA!$B$29,N358)),MAX($M$2:M357)+1,0)</f>
        <v>356</v>
      </c>
      <c r="N358" s="306" t="s">
        <v>2175</v>
      </c>
      <c r="O358" s="323" t="s">
        <v>2176</v>
      </c>
      <c r="P358" s="308"/>
      <c r="Q358" s="309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306" t="s">
        <v>2175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306" t="s">
        <v>2175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306" t="s">
        <v>2175</v>
      </c>
      <c r="Z358" t="str">
        <f>IFERROR(VLOOKUP(ROWS($Z$3:Z358),$X$3:$Y$992,2,0),"")</f>
        <v>Veřejná správa a hospodářská a sociální politika</v>
      </c>
    </row>
    <row r="359" spans="13:26">
      <c r="M359" s="305">
        <f>IF(ISNUMBER(SEARCH(ZAKL_DATA!$B$29,N359)),MAX($M$2:M358)+1,0)</f>
        <v>357</v>
      </c>
      <c r="N359" s="306" t="s">
        <v>2177</v>
      </c>
      <c r="O359" s="323" t="s">
        <v>2178</v>
      </c>
      <c r="P359" s="308"/>
      <c r="Q359" s="309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306" t="s">
        <v>2177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306" t="s">
        <v>2177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306" t="s">
        <v>2177</v>
      </c>
      <c r="Z359" t="str">
        <f>IFERROR(VLOOKUP(ROWS($Z$3:Z359),$X$3:$Y$992,2,0),"")</f>
        <v>Činnosti pro společnost jako celek</v>
      </c>
    </row>
    <row r="360" spans="13:26">
      <c r="M360" s="305">
        <f>IF(ISNUMBER(SEARCH(ZAKL_DATA!$B$29,N360)),MAX($M$2:M359)+1,0)</f>
        <v>358</v>
      </c>
      <c r="N360" s="306" t="s">
        <v>2179</v>
      </c>
      <c r="O360" s="323" t="s">
        <v>2180</v>
      </c>
      <c r="P360" s="308"/>
      <c r="Q360" s="309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306" t="s">
        <v>2179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306" t="s">
        <v>2179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306" t="s">
        <v>2179</v>
      </c>
      <c r="Z360" t="str">
        <f>IFERROR(VLOOKUP(ROWS($Z$3:Z360),$X$3:$Y$992,2,0),"")</f>
        <v>Činnosti v oblasti povinného sociálního zabezpečení</v>
      </c>
    </row>
    <row r="361" spans="13:26">
      <c r="M361" s="305">
        <f>IF(ISNUMBER(SEARCH(ZAKL_DATA!$B$29,N361)),MAX($M$2:M360)+1,0)</f>
        <v>359</v>
      </c>
      <c r="N361" s="306" t="s">
        <v>2181</v>
      </c>
      <c r="O361" s="323" t="s">
        <v>2182</v>
      </c>
      <c r="P361" s="308"/>
      <c r="Q361" s="309" t="str">
        <f>IFERROR(VLOOKUP(ROWS($Q$3:Q361),$M$3:$N$992,2,0),"")</f>
        <v>Předškolní vzdělávání</v>
      </c>
      <c r="R361">
        <f>IF(ISNUMBER(SEARCH('1Př1'!$A$32,N361)),MAX($M$2:M360)+1,0)</f>
        <v>359</v>
      </c>
      <c r="S361" s="306" t="s">
        <v>2181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306" t="s">
        <v>2181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306" t="s">
        <v>2181</v>
      </c>
      <c r="Z361" t="str">
        <f>IFERROR(VLOOKUP(ROWS($Z$3:Z361),$X$3:$Y$992,2,0),"")</f>
        <v>Předškolní vzdělávání</v>
      </c>
    </row>
    <row r="362" spans="13:26">
      <c r="M362" s="305">
        <f>IF(ISNUMBER(SEARCH(ZAKL_DATA!$B$29,N362)),MAX($M$2:M361)+1,0)</f>
        <v>360</v>
      </c>
      <c r="N362" s="306" t="s">
        <v>2183</v>
      </c>
      <c r="O362" s="323" t="s">
        <v>2184</v>
      </c>
      <c r="P362" s="308"/>
      <c r="Q362" s="309" t="str">
        <f>IFERROR(VLOOKUP(ROWS($Q$3:Q362),$M$3:$N$992,2,0),"")</f>
        <v>Primární vzdělávání</v>
      </c>
      <c r="R362">
        <f>IF(ISNUMBER(SEARCH('1Př1'!$A$32,N362)),MAX($M$2:M361)+1,0)</f>
        <v>360</v>
      </c>
      <c r="S362" s="306" t="s">
        <v>2183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306" t="s">
        <v>2183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306" t="s">
        <v>2183</v>
      </c>
      <c r="Z362" t="str">
        <f>IFERROR(VLOOKUP(ROWS($Z$3:Z362),$X$3:$Y$992,2,0),"")</f>
        <v>Primární vzdělávání</v>
      </c>
    </row>
    <row r="363" spans="13:26">
      <c r="M363" s="305">
        <f>IF(ISNUMBER(SEARCH(ZAKL_DATA!$B$29,N363)),MAX($M$2:M362)+1,0)</f>
        <v>361</v>
      </c>
      <c r="N363" s="306" t="s">
        <v>2185</v>
      </c>
      <c r="O363" s="323" t="s">
        <v>2186</v>
      </c>
      <c r="P363" s="308"/>
      <c r="Q363" s="309" t="str">
        <f>IFERROR(VLOOKUP(ROWS($Q$3:Q363),$M$3:$N$992,2,0),"")</f>
        <v>Sekundární vzdělávání</v>
      </c>
      <c r="R363">
        <f>IF(ISNUMBER(SEARCH('1Př1'!$A$32,N363)),MAX($M$2:M362)+1,0)</f>
        <v>361</v>
      </c>
      <c r="S363" s="306" t="s">
        <v>2185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306" t="s">
        <v>2185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306" t="s">
        <v>2185</v>
      </c>
      <c r="Z363" t="str">
        <f>IFERROR(VLOOKUP(ROWS($Z$3:Z363),$X$3:$Y$992,2,0),"")</f>
        <v>Sekundární vzdělávání</v>
      </c>
    </row>
    <row r="364" spans="13:26">
      <c r="M364" s="305">
        <f>IF(ISNUMBER(SEARCH(ZAKL_DATA!$B$29,N364)),MAX($M$2:M363)+1,0)</f>
        <v>362</v>
      </c>
      <c r="N364" s="306" t="s">
        <v>2187</v>
      </c>
      <c r="O364" s="323" t="s">
        <v>2188</v>
      </c>
      <c r="P364" s="308"/>
      <c r="Q364" s="309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306" t="s">
        <v>2187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306" t="s">
        <v>2187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306" t="s">
        <v>2187</v>
      </c>
      <c r="Z364" t="str">
        <f>IFERROR(VLOOKUP(ROWS($Z$3:Z364),$X$3:$Y$992,2,0),"")</f>
        <v>Postsekundární vzdělávání</v>
      </c>
    </row>
    <row r="365" spans="13:26">
      <c r="M365" s="305">
        <f>IF(ISNUMBER(SEARCH(ZAKL_DATA!$B$29,N365)),MAX($M$2:M364)+1,0)</f>
        <v>363</v>
      </c>
      <c r="N365" s="306" t="s">
        <v>2189</v>
      </c>
      <c r="O365" s="323" t="s">
        <v>2190</v>
      </c>
      <c r="P365" s="308"/>
      <c r="Q365" s="309" t="str">
        <f>IFERROR(VLOOKUP(ROWS($Q$3:Q365),$M$3:$N$992,2,0),"")</f>
        <v>Ostatní vzdělávání</v>
      </c>
      <c r="R365">
        <f>IF(ISNUMBER(SEARCH('1Př1'!$A$32,N365)),MAX($M$2:M364)+1,0)</f>
        <v>363</v>
      </c>
      <c r="S365" s="306" t="s">
        <v>2189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306" t="s">
        <v>2189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306" t="s">
        <v>2189</v>
      </c>
      <c r="Z365" t="str">
        <f>IFERROR(VLOOKUP(ROWS($Z$3:Z365),$X$3:$Y$992,2,0),"")</f>
        <v>Ostatní vzdělávání</v>
      </c>
    </row>
    <row r="366" spans="13:26">
      <c r="M366" s="305">
        <f>IF(ISNUMBER(SEARCH(ZAKL_DATA!$B$29,N366)),MAX($M$2:M365)+1,0)</f>
        <v>364</v>
      </c>
      <c r="N366" s="306" t="s">
        <v>2191</v>
      </c>
      <c r="O366" s="323" t="s">
        <v>2192</v>
      </c>
      <c r="P366" s="308"/>
      <c r="Q366" s="309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306" t="s">
        <v>2191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306" t="s">
        <v>2191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306" t="s">
        <v>2191</v>
      </c>
      <c r="Z366" t="str">
        <f>IFERROR(VLOOKUP(ROWS($Z$3:Z366),$X$3:$Y$992,2,0),"")</f>
        <v>Podpůrné činnosti ve vzdělávání</v>
      </c>
    </row>
    <row r="367" spans="13:26">
      <c r="M367" s="305">
        <f>IF(ISNUMBER(SEARCH(ZAKL_DATA!$B$29,N367)),MAX($M$2:M366)+1,0)</f>
        <v>365</v>
      </c>
      <c r="N367" s="306" t="s">
        <v>2193</v>
      </c>
      <c r="O367" s="323" t="s">
        <v>2194</v>
      </c>
      <c r="P367" s="308"/>
      <c r="Q367" s="309" t="str">
        <f>IFERROR(VLOOKUP(ROWS($Q$3:Q367),$M$3:$N$992,2,0),"")</f>
        <v>Ústavní zdravotní péče</v>
      </c>
      <c r="R367">
        <f>IF(ISNUMBER(SEARCH('1Př1'!$A$32,N367)),MAX($M$2:M366)+1,0)</f>
        <v>365</v>
      </c>
      <c r="S367" s="306" t="s">
        <v>2193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306" t="s">
        <v>2193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306" t="s">
        <v>2193</v>
      </c>
      <c r="Z367" t="str">
        <f>IFERROR(VLOOKUP(ROWS($Z$3:Z367),$X$3:$Y$992,2,0),"")</f>
        <v>Ústavní zdravotní péče</v>
      </c>
    </row>
    <row r="368" spans="13:26">
      <c r="M368" s="305">
        <f>IF(ISNUMBER(SEARCH(ZAKL_DATA!$B$29,N368)),MAX($M$2:M367)+1,0)</f>
        <v>366</v>
      </c>
      <c r="N368" s="306" t="s">
        <v>2195</v>
      </c>
      <c r="O368" s="323" t="s">
        <v>2196</v>
      </c>
      <c r="P368" s="308"/>
      <c r="Q368" s="309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306" t="s">
        <v>2195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306" t="s">
        <v>2195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306" t="s">
        <v>2195</v>
      </c>
      <c r="Z368" t="str">
        <f>IFERROR(VLOOKUP(ROWS($Z$3:Z368),$X$3:$Y$992,2,0),"")</f>
        <v>Ambulantní a zubní zdravotní péče</v>
      </c>
    </row>
    <row r="369" spans="13:26">
      <c r="M369" s="305">
        <f>IF(ISNUMBER(SEARCH(ZAKL_DATA!$B$29,N369)),MAX($M$2:M368)+1,0)</f>
        <v>367</v>
      </c>
      <c r="N369" s="306" t="s">
        <v>2197</v>
      </c>
      <c r="O369" s="323" t="s">
        <v>2198</v>
      </c>
      <c r="P369" s="308"/>
      <c r="Q369" s="309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306" t="s">
        <v>2197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306" t="s">
        <v>2197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306" t="s">
        <v>2197</v>
      </c>
      <c r="Z369" t="str">
        <f>IFERROR(VLOOKUP(ROWS($Z$3:Z369),$X$3:$Y$992,2,0),"")</f>
        <v>Ostatní činnosti související se zdravotní péčí</v>
      </c>
    </row>
    <row r="370" spans="13:26">
      <c r="M370" s="305">
        <f>IF(ISNUMBER(SEARCH(ZAKL_DATA!$B$29,N370)),MAX($M$2:M369)+1,0)</f>
        <v>368</v>
      </c>
      <c r="N370" s="306" t="s">
        <v>2199</v>
      </c>
      <c r="O370" s="323" t="s">
        <v>1248</v>
      </c>
      <c r="P370" s="308"/>
      <c r="Q370" s="309" t="str">
        <f>IFERROR(VLOOKUP(ROWS($Q$3:Q370),$M$3:$N$992,2,0),"")</f>
        <v>Ústavní sociální péče</v>
      </c>
      <c r="R370">
        <f>IF(ISNUMBER(SEARCH('1Př1'!$A$32,N370)),MAX($M$2:M369)+1,0)</f>
        <v>368</v>
      </c>
      <c r="S370" s="306" t="s">
        <v>2199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306" t="s">
        <v>2199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306" t="s">
        <v>2199</v>
      </c>
      <c r="Z370" t="str">
        <f>IFERROR(VLOOKUP(ROWS($Z$3:Z370),$X$3:$Y$992,2,0),"")</f>
        <v>Ústavní sociální péče</v>
      </c>
    </row>
    <row r="371" spans="13:26">
      <c r="M371" s="305">
        <f>IF(ISNUMBER(SEARCH(ZAKL_DATA!$B$29,N371)),MAX($M$2:M370)+1,0)</f>
        <v>369</v>
      </c>
      <c r="N371" s="306" t="s">
        <v>2200</v>
      </c>
      <c r="O371" s="323" t="s">
        <v>2201</v>
      </c>
      <c r="P371" s="308"/>
      <c r="Q371" s="309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306" t="s">
        <v>2200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306" t="s">
        <v>2200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306" t="s">
        <v>2200</v>
      </c>
      <c r="Z371" t="str">
        <f>IFERROR(VLOOKUP(ROWS($Z$3:Z371),$X$3:$Y$992,2,0),"")</f>
        <v>Sociální péče ve zdravotnických zařízeních ústavní péče</v>
      </c>
    </row>
    <row r="372" spans="13:26">
      <c r="M372" s="305">
        <f>IF(ISNUMBER(SEARCH(ZAKL_DATA!$B$29,N372)),MAX($M$2:M371)+1,0)</f>
        <v>370</v>
      </c>
      <c r="N372" s="306" t="s">
        <v>2202</v>
      </c>
      <c r="O372" s="323" t="s">
        <v>2203</v>
      </c>
      <c r="P372" s="308"/>
      <c r="Q372" s="309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306" t="s">
        <v>2202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306" t="s">
        <v>2202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306" t="s">
        <v>2202</v>
      </c>
      <c r="Z372" t="str">
        <f>IFERROR(VLOOKUP(ROWS($Z$3:Z372),$X$3:$Y$992,2,0),"")</f>
        <v>Soc.péče v zaříz.pro osoby s chron.duš.onemoc.a osoby závislé na návyk.l.</v>
      </c>
    </row>
    <row r="373" spans="13:26">
      <c r="M373" s="305">
        <f>IF(ISNUMBER(SEARCH(ZAKL_DATA!$B$29,N373)),MAX($M$2:M372)+1,0)</f>
        <v>371</v>
      </c>
      <c r="N373" s="306" t="s">
        <v>2204</v>
      </c>
      <c r="O373" s="323" t="s">
        <v>2205</v>
      </c>
      <c r="P373" s="308"/>
      <c r="Q373" s="309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306" t="s">
        <v>2204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306" t="s">
        <v>2204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306" t="s">
        <v>2204</v>
      </c>
      <c r="Z373" t="str">
        <f>IFERROR(VLOOKUP(ROWS($Z$3:Z373),$X$3:$Y$992,2,0),"")</f>
        <v>Sociální péče v domovech pro seniory a osoby se zdravotním postižením</v>
      </c>
    </row>
    <row r="374" spans="13:26">
      <c r="M374" s="305">
        <f>IF(ISNUMBER(SEARCH(ZAKL_DATA!$B$29,N374)),MAX($M$2:M373)+1,0)</f>
        <v>372</v>
      </c>
      <c r="N374" s="306" t="s">
        <v>2206</v>
      </c>
      <c r="O374" s="323" t="s">
        <v>2207</v>
      </c>
      <c r="P374" s="308"/>
      <c r="Q374" s="309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306" t="s">
        <v>2206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306" t="s">
        <v>2206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306" t="s">
        <v>2206</v>
      </c>
      <c r="Z374" t="str">
        <f>IFERROR(VLOOKUP(ROWS($Z$3:Z374),$X$3:$Y$992,2,0),"")</f>
        <v>Ostatní pobytové služby sociální péče</v>
      </c>
    </row>
    <row r="375" spans="13:26">
      <c r="M375" s="305">
        <f>IF(ISNUMBER(SEARCH(ZAKL_DATA!$B$29,N375)),MAX($M$2:M374)+1,0)</f>
        <v>373</v>
      </c>
      <c r="N375" s="306" t="s">
        <v>2208</v>
      </c>
      <c r="O375" s="323" t="s">
        <v>2209</v>
      </c>
      <c r="P375" s="308"/>
      <c r="Q375" s="309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306" t="s">
        <v>2208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306" t="s">
        <v>2208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306" t="s">
        <v>2208</v>
      </c>
      <c r="Z375" t="str">
        <f>IFERROR(VLOOKUP(ROWS($Z$3:Z375),$X$3:$Y$992,2,0),"")</f>
        <v>Ambulantní nebo terénní soc.služby pro seniory a osoby se zdrav.postižením</v>
      </c>
    </row>
    <row r="376" spans="13:26">
      <c r="M376" s="305">
        <f>IF(ISNUMBER(SEARCH(ZAKL_DATA!$B$29,N376)),MAX($M$2:M375)+1,0)</f>
        <v>374</v>
      </c>
      <c r="N376" s="306" t="s">
        <v>2210</v>
      </c>
      <c r="O376" s="323" t="s">
        <v>2211</v>
      </c>
      <c r="P376" s="308"/>
      <c r="Q376" s="309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306" t="s">
        <v>2210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306" t="s">
        <v>2210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306" t="s">
        <v>2210</v>
      </c>
      <c r="Z376" t="str">
        <f>IFERROR(VLOOKUP(ROWS($Z$3:Z376),$X$3:$Y$992,2,0),"")</f>
        <v>Ostatní ambulantní nebo terénní sociální služby</v>
      </c>
    </row>
    <row r="377" spans="13:26">
      <c r="M377" s="305">
        <f>IF(ISNUMBER(SEARCH(ZAKL_DATA!$B$29,N377)),MAX($M$2:M376)+1,0)</f>
        <v>375</v>
      </c>
      <c r="N377" s="306" t="s">
        <v>2212</v>
      </c>
      <c r="O377" s="323" t="s">
        <v>2213</v>
      </c>
      <c r="P377" s="308"/>
      <c r="Q377" s="309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306" t="s">
        <v>2212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306" t="s">
        <v>2212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306" t="s">
        <v>2212</v>
      </c>
      <c r="Z377" t="str">
        <f>IFERROR(VLOOKUP(ROWS($Z$3:Z377),$X$3:$Y$992,2,0),"")</f>
        <v>Těžba chemických minerálů a minerálů pro výrobu hnojiv</v>
      </c>
    </row>
    <row r="378" spans="13:26">
      <c r="M378" s="305">
        <f>IF(ISNUMBER(SEARCH(ZAKL_DATA!$B$29,N378)),MAX($M$2:M377)+1,0)</f>
        <v>376</v>
      </c>
      <c r="N378" s="306" t="s">
        <v>2214</v>
      </c>
      <c r="O378" s="323" t="s">
        <v>2215</v>
      </c>
      <c r="P378" s="308"/>
      <c r="Q378" s="309" t="str">
        <f>IFERROR(VLOOKUP(ROWS($Q$3:Q378),$M$3:$N$992,2,0),"")</f>
        <v>Těžba rašeliny</v>
      </c>
      <c r="R378">
        <f>IF(ISNUMBER(SEARCH('1Př1'!$A$32,N378)),MAX($M$2:M377)+1,0)</f>
        <v>376</v>
      </c>
      <c r="S378" s="306" t="s">
        <v>2214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306" t="s">
        <v>2214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306" t="s">
        <v>2214</v>
      </c>
      <c r="Z378" t="str">
        <f>IFERROR(VLOOKUP(ROWS($Z$3:Z378),$X$3:$Y$992,2,0),"")</f>
        <v>Těžba rašeliny</v>
      </c>
    </row>
    <row r="379" spans="13:26">
      <c r="M379" s="305">
        <f>IF(ISNUMBER(SEARCH(ZAKL_DATA!$B$29,N379)),MAX($M$2:M378)+1,0)</f>
        <v>377</v>
      </c>
      <c r="N379" s="306" t="s">
        <v>2216</v>
      </c>
      <c r="O379" s="323" t="s">
        <v>2217</v>
      </c>
      <c r="P379" s="308"/>
      <c r="Q379" s="309" t="str">
        <f>IFERROR(VLOOKUP(ROWS($Q$3:Q379),$M$3:$N$992,2,0),"")</f>
        <v>Těžba soli</v>
      </c>
      <c r="R379">
        <f>IF(ISNUMBER(SEARCH('1Př1'!$A$32,N379)),MAX($M$2:M378)+1,0)</f>
        <v>377</v>
      </c>
      <c r="S379" s="306" t="s">
        <v>2216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306" t="s">
        <v>2216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306" t="s">
        <v>2216</v>
      </c>
      <c r="Z379" t="str">
        <f>IFERROR(VLOOKUP(ROWS($Z$3:Z379),$X$3:$Y$992,2,0),"")</f>
        <v>Těžba soli</v>
      </c>
    </row>
    <row r="380" spans="13:26">
      <c r="M380" s="305">
        <f>IF(ISNUMBER(SEARCH(ZAKL_DATA!$B$29,N380)),MAX($M$2:M379)+1,0)</f>
        <v>378</v>
      </c>
      <c r="N380" s="306" t="s">
        <v>2218</v>
      </c>
      <c r="O380" s="323" t="s">
        <v>2219</v>
      </c>
      <c r="P380" s="308"/>
      <c r="Q380" s="309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306" t="s">
        <v>2218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306" t="s">
        <v>2218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306" t="s">
        <v>2218</v>
      </c>
      <c r="Z380" t="str">
        <f>IFERROR(VLOOKUP(ROWS($Z$3:Z380),$X$3:$Y$992,2,0),"")</f>
        <v>Ostatní těžba a dobývání j. n.</v>
      </c>
    </row>
    <row r="381" spans="13:26">
      <c r="M381" s="305">
        <f>IF(ISNUMBER(SEARCH(ZAKL_DATA!$B$29,N381)),MAX($M$2:M380)+1,0)</f>
        <v>379</v>
      </c>
      <c r="N381" s="306" t="s">
        <v>2220</v>
      </c>
      <c r="O381" s="323" t="s">
        <v>2221</v>
      </c>
      <c r="P381" s="308"/>
      <c r="Q381" s="309" t="str">
        <f>IFERROR(VLOOKUP(ROWS($Q$3:Q381),$M$3:$N$992,2,0),"")</f>
        <v>Sportovní činnosti</v>
      </c>
      <c r="R381">
        <f>IF(ISNUMBER(SEARCH('1Př1'!$A$32,N381)),MAX($M$2:M380)+1,0)</f>
        <v>379</v>
      </c>
      <c r="S381" s="306" t="s">
        <v>2220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306" t="s">
        <v>2220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306" t="s">
        <v>2220</v>
      </c>
      <c r="Z381" t="str">
        <f>IFERROR(VLOOKUP(ROWS($Z$3:Z381),$X$3:$Y$992,2,0),"")</f>
        <v>Sportovní činnosti</v>
      </c>
    </row>
    <row r="382" spans="13:26">
      <c r="M382" s="305">
        <f>IF(ISNUMBER(SEARCH(ZAKL_DATA!$B$29,N382)),MAX($M$2:M381)+1,0)</f>
        <v>380</v>
      </c>
      <c r="N382" s="306" t="s">
        <v>2222</v>
      </c>
      <c r="O382" s="323" t="s">
        <v>2223</v>
      </c>
      <c r="P382" s="308"/>
      <c r="Q382" s="309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306" t="s">
        <v>2222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306" t="s">
        <v>2222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306" t="s">
        <v>2222</v>
      </c>
      <c r="Z382" t="str">
        <f>IFERROR(VLOOKUP(ROWS($Z$3:Z382),$X$3:$Y$992,2,0),"")</f>
        <v>Ostatní zábavní a rekreační činnosti</v>
      </c>
    </row>
    <row r="383" spans="13:26">
      <c r="M383" s="305">
        <f>IF(ISNUMBER(SEARCH(ZAKL_DATA!$B$29,N383)),MAX($M$2:M382)+1,0)</f>
        <v>381</v>
      </c>
      <c r="N383" s="306" t="s">
        <v>2224</v>
      </c>
      <c r="O383" s="323" t="s">
        <v>2225</v>
      </c>
      <c r="P383" s="308"/>
      <c r="Q383" s="309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306" t="s">
        <v>2224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306" t="s">
        <v>2224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306" t="s">
        <v>2224</v>
      </c>
      <c r="Z383" t="str">
        <f>IFERROR(VLOOKUP(ROWS($Z$3:Z383),$X$3:$Y$992,2,0),"")</f>
        <v>Činnosti podnikatelských, zaměstnavatelských a profesních organizací</v>
      </c>
    </row>
    <row r="384" spans="13:26">
      <c r="M384" s="305">
        <f>IF(ISNUMBER(SEARCH(ZAKL_DATA!$B$29,N384)),MAX($M$2:M383)+1,0)</f>
        <v>382</v>
      </c>
      <c r="N384" s="306" t="s">
        <v>2226</v>
      </c>
      <c r="O384" s="323" t="s">
        <v>2227</v>
      </c>
      <c r="P384" s="308"/>
      <c r="Q384" s="309" t="str">
        <f>IFERROR(VLOOKUP(ROWS($Q$3:Q384),$M$3:$N$992,2,0),"")</f>
        <v>Činnosti odborových svazů</v>
      </c>
      <c r="R384">
        <f>IF(ISNUMBER(SEARCH('1Př1'!$A$32,N384)),MAX($M$2:M383)+1,0)</f>
        <v>382</v>
      </c>
      <c r="S384" s="306" t="s">
        <v>2226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306" t="s">
        <v>2226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306" t="s">
        <v>2226</v>
      </c>
      <c r="Z384" t="str">
        <f>IFERROR(VLOOKUP(ROWS($Z$3:Z384),$X$3:$Y$992,2,0),"")</f>
        <v>Činnosti odborových svazů</v>
      </c>
    </row>
    <row r="385" spans="13:26">
      <c r="M385" s="305">
        <f>IF(ISNUMBER(SEARCH(ZAKL_DATA!$B$29,N385)),MAX($M$2:M384)+1,0)</f>
        <v>383</v>
      </c>
      <c r="N385" s="306" t="s">
        <v>2228</v>
      </c>
      <c r="O385" s="323" t="s">
        <v>2229</v>
      </c>
      <c r="P385" s="308"/>
      <c r="Q385" s="309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306" t="s">
        <v>2228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306" t="s">
        <v>2228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306" t="s">
        <v>2228</v>
      </c>
      <c r="Z385" t="str">
        <f>IFERROR(VLOOKUP(ROWS($Z$3:Z385),$X$3:$Y$992,2,0),"")</f>
        <v>Činnosti ost.org.sdružujících osoby za účelem prosazování společných zájmů</v>
      </c>
    </row>
    <row r="386" spans="13:26">
      <c r="M386" s="305">
        <f>IF(ISNUMBER(SEARCH(ZAKL_DATA!$B$29,N386)),MAX($M$2:M385)+1,0)</f>
        <v>384</v>
      </c>
      <c r="N386" s="306" t="s">
        <v>2230</v>
      </c>
      <c r="O386" s="323" t="s">
        <v>2231</v>
      </c>
      <c r="P386" s="308"/>
      <c r="Q386" s="309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306" t="s">
        <v>2230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306" t="s">
        <v>2230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306" t="s">
        <v>2230</v>
      </c>
      <c r="Z386" t="str">
        <f>IFERROR(VLOOKUP(ROWS($Z$3:Z386),$X$3:$Y$992,2,0),"")</f>
        <v>Opravy počítačů a komunikačních zařízení</v>
      </c>
    </row>
    <row r="387" spans="13:26">
      <c r="M387" s="305">
        <f>IF(ISNUMBER(SEARCH(ZAKL_DATA!$B$29,N387)),MAX($M$2:M386)+1,0)</f>
        <v>385</v>
      </c>
      <c r="N387" s="306" t="s">
        <v>2232</v>
      </c>
      <c r="O387" s="323" t="s">
        <v>2233</v>
      </c>
      <c r="P387" s="308"/>
      <c r="Q387" s="309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306" t="s">
        <v>2232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306" t="s">
        <v>2232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306" t="s">
        <v>2232</v>
      </c>
      <c r="Z387" t="str">
        <f>IFERROR(VLOOKUP(ROWS($Z$3:Z387),$X$3:$Y$992,2,0),"")</f>
        <v>Opravy výrobků pro osobní potřebu a převážně pro domácnost</v>
      </c>
    </row>
    <row r="388" spans="13:26">
      <c r="M388" s="305">
        <f>IF(ISNUMBER(SEARCH(ZAKL_DATA!$B$29,N388)),MAX($M$2:M387)+1,0)</f>
        <v>386</v>
      </c>
      <c r="N388" s="306" t="s">
        <v>2234</v>
      </c>
      <c r="O388" s="323" t="s">
        <v>2235</v>
      </c>
      <c r="P388" s="308"/>
      <c r="Q388" s="309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306" t="s">
        <v>2234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306" t="s">
        <v>2234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306" t="s">
        <v>2234</v>
      </c>
      <c r="Z388" t="str">
        <f>IFERROR(VLOOKUP(ROWS($Z$3:Z388),$X$3:$Y$992,2,0),"")</f>
        <v>Činnosti domác.produk.blíže neurčené výrobky pro vlastní potřebu</v>
      </c>
    </row>
    <row r="389" spans="13:26">
      <c r="M389" s="305">
        <f>IF(ISNUMBER(SEARCH(ZAKL_DATA!$B$29,N389)),MAX($M$2:M388)+1,0)</f>
        <v>387</v>
      </c>
      <c r="N389" s="306" t="s">
        <v>2236</v>
      </c>
      <c r="O389" s="323" t="s">
        <v>2237</v>
      </c>
      <c r="P389" s="308"/>
      <c r="Q389" s="309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306" t="s">
        <v>2236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306" t="s">
        <v>2236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306" t="s">
        <v>2236</v>
      </c>
      <c r="Z389" t="str">
        <f>IFERROR(VLOOKUP(ROWS($Z$3:Z389),$X$3:$Y$992,2,0),"")</f>
        <v>Činnosti domácností poskyt.blíže neurčené služby pro vlastní potřebu</v>
      </c>
    </row>
    <row r="390" spans="13:26">
      <c r="M390" s="305">
        <f>IF(ISNUMBER(SEARCH(ZAKL_DATA!$B$29,N390)),MAX($M$2:M389)+1,0)</f>
        <v>388</v>
      </c>
      <c r="N390" s="306" t="s">
        <v>2238</v>
      </c>
      <c r="O390" s="323" t="s">
        <v>2239</v>
      </c>
      <c r="P390" s="308"/>
      <c r="Q390" s="309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306" t="s">
        <v>2238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306" t="s">
        <v>2238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306" t="s">
        <v>2238</v>
      </c>
      <c r="Z390" t="str">
        <f>IFERROR(VLOOKUP(ROWS($Z$3:Z390),$X$3:$Y$992,2,0),"")</f>
        <v>Zpracování a konzervování masa, kromě drůbežího</v>
      </c>
    </row>
    <row r="391" spans="13:26">
      <c r="M391" s="305">
        <f>IF(ISNUMBER(SEARCH(ZAKL_DATA!$B$29,N391)),MAX($M$2:M390)+1,0)</f>
        <v>389</v>
      </c>
      <c r="N391" s="306" t="s">
        <v>2240</v>
      </c>
      <c r="O391" s="323" t="s">
        <v>2241</v>
      </c>
      <c r="P391" s="308"/>
      <c r="Q391" s="309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306" t="s">
        <v>2240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306" t="s">
        <v>2240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306" t="s">
        <v>2240</v>
      </c>
      <c r="Z391" t="str">
        <f>IFERROR(VLOOKUP(ROWS($Z$3:Z391),$X$3:$Y$992,2,0),"")</f>
        <v>Zpracování a konzervování drůbežího masa</v>
      </c>
    </row>
    <row r="392" spans="13:26">
      <c r="M392" s="305">
        <f>IF(ISNUMBER(SEARCH(ZAKL_DATA!$B$29,N392)),MAX($M$2:M391)+1,0)</f>
        <v>390</v>
      </c>
      <c r="N392" s="306" t="s">
        <v>2242</v>
      </c>
      <c r="O392" s="323" t="s">
        <v>2243</v>
      </c>
      <c r="P392" s="308"/>
      <c r="Q392" s="309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306" t="s">
        <v>2242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306" t="s">
        <v>2242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306" t="s">
        <v>2242</v>
      </c>
      <c r="Z392" t="str">
        <f>IFERROR(VLOOKUP(ROWS($Z$3:Z392),$X$3:$Y$992,2,0),"")</f>
        <v>Výroba masných výrobků a výrobků z drůbežího masa</v>
      </c>
    </row>
    <row r="393" spans="13:26">
      <c r="M393" s="305">
        <f>IF(ISNUMBER(SEARCH(ZAKL_DATA!$B$29,N393)),MAX($M$2:M392)+1,0)</f>
        <v>391</v>
      </c>
      <c r="N393" s="306" t="s">
        <v>2244</v>
      </c>
      <c r="O393" s="323" t="s">
        <v>2245</v>
      </c>
      <c r="P393" s="308"/>
      <c r="Q393" s="309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306" t="s">
        <v>2244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306" t="s">
        <v>2244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306" t="s">
        <v>2244</v>
      </c>
      <c r="Z393" t="str">
        <f>IFERROR(VLOOKUP(ROWS($Z$3:Z393),$X$3:$Y$992,2,0),"")</f>
        <v>Zpracování a konzervování brambor</v>
      </c>
    </row>
    <row r="394" spans="13:26">
      <c r="M394" s="305">
        <f>IF(ISNUMBER(SEARCH(ZAKL_DATA!$B$29,N394)),MAX($M$2:M393)+1,0)</f>
        <v>392</v>
      </c>
      <c r="N394" s="306" t="s">
        <v>2246</v>
      </c>
      <c r="O394" s="323" t="s">
        <v>2247</v>
      </c>
      <c r="P394" s="308"/>
      <c r="Q394" s="309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306" t="s">
        <v>2246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306" t="s">
        <v>2246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306" t="s">
        <v>2246</v>
      </c>
      <c r="Z394" t="str">
        <f>IFERROR(VLOOKUP(ROWS($Z$3:Z394),$X$3:$Y$992,2,0),"")</f>
        <v>Výroba ovocných a zeleninových šťáv</v>
      </c>
    </row>
    <row r="395" spans="13:26">
      <c r="M395" s="305">
        <f>IF(ISNUMBER(SEARCH(ZAKL_DATA!$B$29,N395)),MAX($M$2:M394)+1,0)</f>
        <v>393</v>
      </c>
      <c r="N395" s="306" t="s">
        <v>2248</v>
      </c>
      <c r="O395" s="323" t="s">
        <v>2249</v>
      </c>
      <c r="P395" s="308"/>
      <c r="Q395" s="309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306" t="s">
        <v>2248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306" t="s">
        <v>2248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306" t="s">
        <v>2248</v>
      </c>
      <c r="Z395" t="str">
        <f>IFERROR(VLOOKUP(ROWS($Z$3:Z395),$X$3:$Y$992,2,0),"")</f>
        <v>Ostatní zpracování a konzervování ovoce a zeleniny</v>
      </c>
    </row>
    <row r="396" spans="13:26">
      <c r="M396" s="305">
        <f>IF(ISNUMBER(SEARCH(ZAKL_DATA!$B$29,N396)),MAX($M$2:M395)+1,0)</f>
        <v>394</v>
      </c>
      <c r="N396" s="306" t="s">
        <v>2250</v>
      </c>
      <c r="O396" s="323" t="s">
        <v>2251</v>
      </c>
      <c r="P396" s="308"/>
      <c r="Q396" s="309" t="str">
        <f>IFERROR(VLOOKUP(ROWS($Q$3:Q396),$M$3:$N$992,2,0),"")</f>
        <v>Výroba olejů a tuků</v>
      </c>
      <c r="R396">
        <f>IF(ISNUMBER(SEARCH('1Př1'!$A$32,N396)),MAX($M$2:M395)+1,0)</f>
        <v>394</v>
      </c>
      <c r="S396" s="306" t="s">
        <v>2250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306" t="s">
        <v>2250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306" t="s">
        <v>2250</v>
      </c>
      <c r="Z396" t="str">
        <f>IFERROR(VLOOKUP(ROWS($Z$3:Z396),$X$3:$Y$992,2,0),"")</f>
        <v>Výroba olejů a tuků</v>
      </c>
    </row>
    <row r="397" spans="13:26">
      <c r="M397" s="305">
        <f>IF(ISNUMBER(SEARCH(ZAKL_DATA!$B$29,N397)),MAX($M$2:M396)+1,0)</f>
        <v>395</v>
      </c>
      <c r="N397" s="306" t="s">
        <v>2252</v>
      </c>
      <c r="O397" s="323" t="s">
        <v>2253</v>
      </c>
      <c r="P397" s="308"/>
      <c r="Q397" s="309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306" t="s">
        <v>2252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306" t="s">
        <v>2252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306" t="s">
        <v>2252</v>
      </c>
      <c r="Z397" t="str">
        <f>IFERROR(VLOOKUP(ROWS($Z$3:Z397),$X$3:$Y$992,2,0),"")</f>
        <v>Výroba margarínu a podobných jedlých tuků</v>
      </c>
    </row>
    <row r="398" spans="13:26">
      <c r="M398" s="305">
        <f>IF(ISNUMBER(SEARCH(ZAKL_DATA!$B$29,N398)),MAX($M$2:M397)+1,0)</f>
        <v>396</v>
      </c>
      <c r="N398" s="306" t="s">
        <v>2254</v>
      </c>
      <c r="O398" s="323" t="s">
        <v>2255</v>
      </c>
      <c r="P398" s="308"/>
      <c r="Q398" s="309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306" t="s">
        <v>2254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306" t="s">
        <v>2254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306" t="s">
        <v>2254</v>
      </c>
      <c r="Z398" t="str">
        <f>IFERROR(VLOOKUP(ROWS($Z$3:Z398),$X$3:$Y$992,2,0),"")</f>
        <v>Zpracování mléka, výroba mléčných výrobků a sýrů</v>
      </c>
    </row>
    <row r="399" spans="13:26">
      <c r="M399" s="305">
        <f>IF(ISNUMBER(SEARCH(ZAKL_DATA!$B$29,N399)),MAX($M$2:M398)+1,0)</f>
        <v>397</v>
      </c>
      <c r="N399" s="306" t="s">
        <v>2256</v>
      </c>
      <c r="O399" s="323" t="s">
        <v>2257</v>
      </c>
      <c r="P399" s="308"/>
      <c r="Q399" s="309" t="str">
        <f>IFERROR(VLOOKUP(ROWS($Q$3:Q399),$M$3:$N$992,2,0),"")</f>
        <v>Výroba zmrzliny</v>
      </c>
      <c r="R399">
        <f>IF(ISNUMBER(SEARCH('1Př1'!$A$32,N399)),MAX($M$2:M398)+1,0)</f>
        <v>397</v>
      </c>
      <c r="S399" s="306" t="s">
        <v>2256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306" t="s">
        <v>2256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306" t="s">
        <v>2256</v>
      </c>
      <c r="Z399" t="str">
        <f>IFERROR(VLOOKUP(ROWS($Z$3:Z399),$X$3:$Y$992,2,0),"")</f>
        <v>Výroba zmrzliny</v>
      </c>
    </row>
    <row r="400" spans="13:26">
      <c r="M400" s="305">
        <f>IF(ISNUMBER(SEARCH(ZAKL_DATA!$B$29,N400)),MAX($M$2:M399)+1,0)</f>
        <v>398</v>
      </c>
      <c r="N400" s="306" t="s">
        <v>2258</v>
      </c>
      <c r="O400" s="323" t="s">
        <v>2259</v>
      </c>
      <c r="P400" s="308"/>
      <c r="Q400" s="309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306" t="s">
        <v>2258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306" t="s">
        <v>2258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306" t="s">
        <v>2258</v>
      </c>
      <c r="Z400" t="str">
        <f>IFERROR(VLOOKUP(ROWS($Z$3:Z400),$X$3:$Y$992,2,0),"")</f>
        <v>Výroba mlýnských výrobků</v>
      </c>
    </row>
    <row r="401" spans="13:26">
      <c r="M401" s="305">
        <f>IF(ISNUMBER(SEARCH(ZAKL_DATA!$B$29,N401)),MAX($M$2:M400)+1,0)</f>
        <v>399</v>
      </c>
      <c r="N401" s="306" t="s">
        <v>2260</v>
      </c>
      <c r="O401" s="323" t="s">
        <v>2261</v>
      </c>
      <c r="P401" s="308"/>
      <c r="Q401" s="309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306" t="s">
        <v>2260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306" t="s">
        <v>2260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306" t="s">
        <v>2260</v>
      </c>
      <c r="Z401" t="str">
        <f>IFERROR(VLOOKUP(ROWS($Z$3:Z401),$X$3:$Y$992,2,0),"")</f>
        <v>Výroba škrobárenských výrobků</v>
      </c>
    </row>
    <row r="402" spans="13:26">
      <c r="M402" s="305">
        <f>IF(ISNUMBER(SEARCH(ZAKL_DATA!$B$29,N402)),MAX($M$2:M401)+1,0)</f>
        <v>400</v>
      </c>
      <c r="N402" s="306" t="s">
        <v>2262</v>
      </c>
      <c r="O402" s="323" t="s">
        <v>2263</v>
      </c>
      <c r="P402" s="308"/>
      <c r="Q402" s="309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306" t="s">
        <v>2262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306" t="s">
        <v>2262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306" t="s">
        <v>2262</v>
      </c>
      <c r="Z402" t="str">
        <f>IFERROR(VLOOKUP(ROWS($Z$3:Z402),$X$3:$Y$992,2,0),"")</f>
        <v>Výroba pekařských a cukrářských výrobků, kromě trvanlivých</v>
      </c>
    </row>
    <row r="403" spans="13:26">
      <c r="M403" s="305">
        <f>IF(ISNUMBER(SEARCH(ZAKL_DATA!$B$29,N403)),MAX($M$2:M402)+1,0)</f>
        <v>401</v>
      </c>
      <c r="N403" s="306" t="s">
        <v>2264</v>
      </c>
      <c r="O403" s="323" t="s">
        <v>2265</v>
      </c>
      <c r="P403" s="308"/>
      <c r="Q403" s="309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306" t="s">
        <v>2264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306" t="s">
        <v>2264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306" t="s">
        <v>2264</v>
      </c>
      <c r="Z403" t="str">
        <f>IFERROR(VLOOKUP(ROWS($Z$3:Z403),$X$3:$Y$992,2,0),"")</f>
        <v>Výroba sucharů a sušenek; výroba trvanlivých cukrářských výrobků</v>
      </c>
    </row>
    <row r="404" spans="13:26">
      <c r="M404" s="305">
        <f>IF(ISNUMBER(SEARCH(ZAKL_DATA!$B$29,N404)),MAX($M$2:M403)+1,0)</f>
        <v>402</v>
      </c>
      <c r="N404" s="306" t="s">
        <v>2266</v>
      </c>
      <c r="O404" s="323" t="s">
        <v>2267</v>
      </c>
      <c r="P404" s="308"/>
      <c r="Q404" s="309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306" t="s">
        <v>2266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306" t="s">
        <v>2266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306" t="s">
        <v>2266</v>
      </c>
      <c r="Z404" t="str">
        <f>IFERROR(VLOOKUP(ROWS($Z$3:Z404),$X$3:$Y$992,2,0),"")</f>
        <v>Výroba makaronů, nudlí, kuskusu a podobných moučných výrobků</v>
      </c>
    </row>
    <row r="405" spans="13:26">
      <c r="M405" s="305">
        <f>IF(ISNUMBER(SEARCH(ZAKL_DATA!$B$29,N405)),MAX($M$2:M404)+1,0)</f>
        <v>403</v>
      </c>
      <c r="N405" s="306" t="s">
        <v>2268</v>
      </c>
      <c r="O405" s="323" t="s">
        <v>2269</v>
      </c>
      <c r="P405" s="308"/>
      <c r="Q405" s="309" t="str">
        <f>IFERROR(VLOOKUP(ROWS($Q$3:Q405),$M$3:$N$992,2,0),"")</f>
        <v>Výroba cukru</v>
      </c>
      <c r="R405">
        <f>IF(ISNUMBER(SEARCH('1Př1'!$A$32,N405)),MAX($M$2:M404)+1,0)</f>
        <v>403</v>
      </c>
      <c r="S405" s="306" t="s">
        <v>2268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306" t="s">
        <v>2268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306" t="s">
        <v>2268</v>
      </c>
      <c r="Z405" t="str">
        <f>IFERROR(VLOOKUP(ROWS($Z$3:Z405),$X$3:$Y$992,2,0),"")</f>
        <v>Výroba cukru</v>
      </c>
    </row>
    <row r="406" spans="13:26">
      <c r="M406" s="305">
        <f>IF(ISNUMBER(SEARCH(ZAKL_DATA!$B$29,N406)),MAX($M$2:M405)+1,0)</f>
        <v>404</v>
      </c>
      <c r="N406" s="306" t="s">
        <v>2270</v>
      </c>
      <c r="O406" s="323" t="s">
        <v>2271</v>
      </c>
      <c r="P406" s="308"/>
      <c r="Q406" s="309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306" t="s">
        <v>2270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306" t="s">
        <v>2270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306" t="s">
        <v>2270</v>
      </c>
      <c r="Z406" t="str">
        <f>IFERROR(VLOOKUP(ROWS($Z$3:Z406),$X$3:$Y$992,2,0),"")</f>
        <v>Výroba kakaa, čokolády a cukrovinek</v>
      </c>
    </row>
    <row r="407" spans="13:26">
      <c r="M407" s="305">
        <f>IF(ISNUMBER(SEARCH(ZAKL_DATA!$B$29,N407)),MAX($M$2:M406)+1,0)</f>
        <v>405</v>
      </c>
      <c r="N407" s="306" t="s">
        <v>2272</v>
      </c>
      <c r="O407" s="323" t="s">
        <v>2273</v>
      </c>
      <c r="P407" s="308"/>
      <c r="Q407" s="309" t="str">
        <f>IFERROR(VLOOKUP(ROWS($Q$3:Q407),$M$3:$N$992,2,0),"")</f>
        <v>Zpracování čaje a kávy</v>
      </c>
      <c r="R407">
        <f>IF(ISNUMBER(SEARCH('1Př1'!$A$32,N407)),MAX($M$2:M406)+1,0)</f>
        <v>405</v>
      </c>
      <c r="S407" s="306" t="s">
        <v>2272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306" t="s">
        <v>2272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306" t="s">
        <v>2272</v>
      </c>
      <c r="Z407" t="str">
        <f>IFERROR(VLOOKUP(ROWS($Z$3:Z407),$X$3:$Y$992,2,0),"")</f>
        <v>Zpracování čaje a kávy</v>
      </c>
    </row>
    <row r="408" spans="13:26">
      <c r="M408" s="305">
        <f>IF(ISNUMBER(SEARCH(ZAKL_DATA!$B$29,N408)),MAX($M$2:M407)+1,0)</f>
        <v>406</v>
      </c>
      <c r="N408" s="306" t="s">
        <v>2274</v>
      </c>
      <c r="O408" s="323" t="s">
        <v>2275</v>
      </c>
      <c r="P408" s="308"/>
      <c r="Q408" s="309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306" t="s">
        <v>2274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306" t="s">
        <v>2274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306" t="s">
        <v>2274</v>
      </c>
      <c r="Z408" t="str">
        <f>IFERROR(VLOOKUP(ROWS($Z$3:Z408),$X$3:$Y$992,2,0),"")</f>
        <v>Výroba koření a aromatických výtažků</v>
      </c>
    </row>
    <row r="409" spans="13:26">
      <c r="M409" s="305">
        <f>IF(ISNUMBER(SEARCH(ZAKL_DATA!$B$29,N409)),MAX($M$2:M408)+1,0)</f>
        <v>407</v>
      </c>
      <c r="N409" s="306" t="s">
        <v>2276</v>
      </c>
      <c r="O409" s="323" t="s">
        <v>2277</v>
      </c>
      <c r="P409" s="308"/>
      <c r="Q409" s="309" t="str">
        <f>IFERROR(VLOOKUP(ROWS($Q$3:Q409),$M$3:$N$992,2,0),"")</f>
        <v>Výroba hotových pokrmů</v>
      </c>
      <c r="R409">
        <f>IF(ISNUMBER(SEARCH('1Př1'!$A$32,N409)),MAX($M$2:M408)+1,0)</f>
        <v>407</v>
      </c>
      <c r="S409" s="306" t="s">
        <v>2276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306" t="s">
        <v>2276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306" t="s">
        <v>2276</v>
      </c>
      <c r="Z409" t="str">
        <f>IFERROR(VLOOKUP(ROWS($Z$3:Z409),$X$3:$Y$992,2,0),"")</f>
        <v>Výroba hotových pokrmů</v>
      </c>
    </row>
    <row r="410" spans="13:26">
      <c r="M410" s="305">
        <f>IF(ISNUMBER(SEARCH(ZAKL_DATA!$B$29,N410)),MAX($M$2:M409)+1,0)</f>
        <v>408</v>
      </c>
      <c r="N410" s="306" t="s">
        <v>2278</v>
      </c>
      <c r="O410" s="323" t="s">
        <v>2279</v>
      </c>
      <c r="P410" s="308"/>
      <c r="Q410" s="309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306" t="s">
        <v>2278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306" t="s">
        <v>2278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306" t="s">
        <v>2278</v>
      </c>
      <c r="Z410" t="str">
        <f>IFERROR(VLOOKUP(ROWS($Z$3:Z410),$X$3:$Y$992,2,0),"")</f>
        <v>Výroba homogenizovaných potravinářských přípravků a dietních potravin</v>
      </c>
    </row>
    <row r="411" spans="13:26">
      <c r="M411" s="305">
        <f>IF(ISNUMBER(SEARCH(ZAKL_DATA!$B$29,N411)),MAX($M$2:M410)+1,0)</f>
        <v>409</v>
      </c>
      <c r="N411" s="306" t="s">
        <v>2280</v>
      </c>
      <c r="O411" s="323" t="s">
        <v>2281</v>
      </c>
      <c r="P411" s="308"/>
      <c r="Q411" s="309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306" t="s">
        <v>2280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306" t="s">
        <v>2280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306" t="s">
        <v>2280</v>
      </c>
      <c r="Z411" t="str">
        <f>IFERROR(VLOOKUP(ROWS($Z$3:Z411),$X$3:$Y$992,2,0),"")</f>
        <v>Výroba ostatních potravinářských výrobků j. n.</v>
      </c>
    </row>
    <row r="412" spans="13:26">
      <c r="M412" s="305">
        <f>IF(ISNUMBER(SEARCH(ZAKL_DATA!$B$29,N412)),MAX($M$2:M411)+1,0)</f>
        <v>410</v>
      </c>
      <c r="N412" s="306" t="s">
        <v>2282</v>
      </c>
      <c r="O412" s="323" t="s">
        <v>2283</v>
      </c>
      <c r="P412" s="308"/>
      <c r="Q412" s="309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306" t="s">
        <v>2282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306" t="s">
        <v>2282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306" t="s">
        <v>2282</v>
      </c>
      <c r="Z412" t="str">
        <f>IFERROR(VLOOKUP(ROWS($Z$3:Z412),$X$3:$Y$992,2,0),"")</f>
        <v>Výroba průmyslových krmiv pro hospodářská zvířata</v>
      </c>
    </row>
    <row r="413" spans="13:26">
      <c r="M413" s="305">
        <f>IF(ISNUMBER(SEARCH(ZAKL_DATA!$B$29,N413)),MAX($M$2:M412)+1,0)</f>
        <v>411</v>
      </c>
      <c r="N413" s="306" t="s">
        <v>2284</v>
      </c>
      <c r="O413" s="323" t="s">
        <v>2285</v>
      </c>
      <c r="P413" s="308"/>
      <c r="Q413" s="309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306" t="s">
        <v>2284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306" t="s">
        <v>2284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306" t="s">
        <v>2284</v>
      </c>
      <c r="Z413" t="str">
        <f>IFERROR(VLOOKUP(ROWS($Z$3:Z413),$X$3:$Y$992,2,0),"")</f>
        <v>Výroba průmyslových krmiv pro zvířata v zájmovém chovu</v>
      </c>
    </row>
    <row r="414" spans="13:26">
      <c r="M414" s="305">
        <f>IF(ISNUMBER(SEARCH(ZAKL_DATA!$B$29,N414)),MAX($M$2:M413)+1,0)</f>
        <v>412</v>
      </c>
      <c r="N414" s="306" t="s">
        <v>2286</v>
      </c>
      <c r="O414" s="323" t="s">
        <v>2287</v>
      </c>
      <c r="P414" s="308"/>
      <c r="Q414" s="309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306" t="s">
        <v>2286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306" t="s">
        <v>2286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306" t="s">
        <v>2286</v>
      </c>
      <c r="Z414" t="str">
        <f>IFERROR(VLOOKUP(ROWS($Z$3:Z414),$X$3:$Y$992,2,0),"")</f>
        <v>Destilace, rektifikace a míchání lihovin</v>
      </c>
    </row>
    <row r="415" spans="13:26">
      <c r="M415" s="305">
        <f>IF(ISNUMBER(SEARCH(ZAKL_DATA!$B$29,N415)),MAX($M$2:M414)+1,0)</f>
        <v>413</v>
      </c>
      <c r="N415" s="306" t="s">
        <v>2288</v>
      </c>
      <c r="O415" s="323" t="s">
        <v>2289</v>
      </c>
      <c r="P415" s="308"/>
      <c r="Q415" s="309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306" t="s">
        <v>2288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306" t="s">
        <v>2288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306" t="s">
        <v>2288</v>
      </c>
      <c r="Z415" t="str">
        <f>IFERROR(VLOOKUP(ROWS($Z$3:Z415),$X$3:$Y$992,2,0),"")</f>
        <v>Výroba vína z vinných hroznů</v>
      </c>
    </row>
    <row r="416" spans="13:26">
      <c r="M416" s="305">
        <f>IF(ISNUMBER(SEARCH(ZAKL_DATA!$B$29,N416)),MAX($M$2:M415)+1,0)</f>
        <v>414</v>
      </c>
      <c r="N416" s="306" t="s">
        <v>2290</v>
      </c>
      <c r="O416" s="323" t="s">
        <v>2291</v>
      </c>
      <c r="P416" s="308"/>
      <c r="Q416" s="309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306" t="s">
        <v>2290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306" t="s">
        <v>2290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306" t="s">
        <v>2290</v>
      </c>
      <c r="Z416" t="str">
        <f>IFERROR(VLOOKUP(ROWS($Z$3:Z416),$X$3:$Y$992,2,0),"")</f>
        <v>Výroba jablečného vína a jiných ovocných vín</v>
      </c>
    </row>
    <row r="417" spans="13:26">
      <c r="M417" s="305">
        <f>IF(ISNUMBER(SEARCH(ZAKL_DATA!$B$29,N417)),MAX($M$2:M416)+1,0)</f>
        <v>415</v>
      </c>
      <c r="N417" s="306" t="s">
        <v>2292</v>
      </c>
      <c r="O417" s="323" t="s">
        <v>2293</v>
      </c>
      <c r="P417" s="308"/>
      <c r="Q417" s="309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306" t="s">
        <v>2292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306" t="s">
        <v>2292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306" t="s">
        <v>2292</v>
      </c>
      <c r="Z417" t="str">
        <f>IFERROR(VLOOKUP(ROWS($Z$3:Z417),$X$3:$Y$992,2,0),"")</f>
        <v>Výroba ostatních nedestilovaných kvašených nápojů</v>
      </c>
    </row>
    <row r="418" spans="13:26">
      <c r="M418" s="305">
        <f>IF(ISNUMBER(SEARCH(ZAKL_DATA!$B$29,N418)),MAX($M$2:M417)+1,0)</f>
        <v>416</v>
      </c>
      <c r="N418" s="306" t="s">
        <v>2294</v>
      </c>
      <c r="O418" s="323" t="s">
        <v>2295</v>
      </c>
      <c r="P418" s="308"/>
      <c r="Q418" s="309" t="str">
        <f>IFERROR(VLOOKUP(ROWS($Q$3:Q418),$M$3:$N$992,2,0),"")</f>
        <v>Výroba piva</v>
      </c>
      <c r="R418">
        <f>IF(ISNUMBER(SEARCH('1Př1'!$A$32,N418)),MAX($M$2:M417)+1,0)</f>
        <v>416</v>
      </c>
      <c r="S418" s="306" t="s">
        <v>2294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306" t="s">
        <v>2294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306" t="s">
        <v>2294</v>
      </c>
      <c r="Z418" t="str">
        <f>IFERROR(VLOOKUP(ROWS($Z$3:Z418),$X$3:$Y$992,2,0),"")</f>
        <v>Výroba piva</v>
      </c>
    </row>
    <row r="419" spans="13:26">
      <c r="M419" s="305">
        <f>IF(ISNUMBER(SEARCH(ZAKL_DATA!$B$29,N419)),MAX($M$2:M418)+1,0)</f>
        <v>417</v>
      </c>
      <c r="N419" s="306" t="s">
        <v>2296</v>
      </c>
      <c r="O419" s="323" t="s">
        <v>2297</v>
      </c>
      <c r="P419" s="308"/>
      <c r="Q419" s="309" t="str">
        <f>IFERROR(VLOOKUP(ROWS($Q$3:Q419),$M$3:$N$992,2,0),"")</f>
        <v>Výroba sladu</v>
      </c>
      <c r="R419">
        <f>IF(ISNUMBER(SEARCH('1Př1'!$A$32,N419)),MAX($M$2:M418)+1,0)</f>
        <v>417</v>
      </c>
      <c r="S419" s="306" t="s">
        <v>2296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306" t="s">
        <v>2296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306" t="s">
        <v>2296</v>
      </c>
      <c r="Z419" t="str">
        <f>IFERROR(VLOOKUP(ROWS($Z$3:Z419),$X$3:$Y$992,2,0),"")</f>
        <v>Výroba sladu</v>
      </c>
    </row>
    <row r="420" spans="13:26">
      <c r="M420" s="305">
        <f>IF(ISNUMBER(SEARCH(ZAKL_DATA!$B$29,N420)),MAX($M$2:M419)+1,0)</f>
        <v>418</v>
      </c>
      <c r="N420" s="306" t="s">
        <v>2298</v>
      </c>
      <c r="O420" s="323" t="s">
        <v>2299</v>
      </c>
      <c r="P420" s="308"/>
      <c r="Q420" s="309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306" t="s">
        <v>2298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306" t="s">
        <v>2298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306" t="s">
        <v>2298</v>
      </c>
      <c r="Z420" t="str">
        <f>IFERROR(VLOOKUP(ROWS($Z$3:Z420),$X$3:$Y$992,2,0),"")</f>
        <v>Výroba nealkohol.nápojů;stáčení minerálních a ostatních vod do lahví</v>
      </c>
    </row>
    <row r="421" spans="13:26">
      <c r="M421" s="305">
        <f>IF(ISNUMBER(SEARCH(ZAKL_DATA!$B$29,N421)),MAX($M$2:M420)+1,0)</f>
        <v>419</v>
      </c>
      <c r="N421" s="306" t="s">
        <v>2300</v>
      </c>
      <c r="O421" s="323" t="s">
        <v>2301</v>
      </c>
      <c r="P421" s="308"/>
      <c r="Q421" s="309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306" t="s">
        <v>2300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306" t="s">
        <v>2300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306" t="s">
        <v>2300</v>
      </c>
      <c r="Z421" t="str">
        <f>IFERROR(VLOOKUP(ROWS($Z$3:Z421),$X$3:$Y$992,2,0),"")</f>
        <v>Výroba pletených a háčkovaných materiálů</v>
      </c>
    </row>
    <row r="422" spans="13:26">
      <c r="M422" s="305">
        <f>IF(ISNUMBER(SEARCH(ZAKL_DATA!$B$29,N422)),MAX($M$2:M421)+1,0)</f>
        <v>420</v>
      </c>
      <c r="N422" s="306" t="s">
        <v>2302</v>
      </c>
      <c r="O422" s="323" t="s">
        <v>2303</v>
      </c>
      <c r="P422" s="308"/>
      <c r="Q422" s="309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306" t="s">
        <v>2302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306" t="s">
        <v>2302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306" t="s">
        <v>2302</v>
      </c>
      <c r="Z422" t="str">
        <f>IFERROR(VLOOKUP(ROWS($Z$3:Z422),$X$3:$Y$992,2,0),"")</f>
        <v>Výroba konfekčních textilních výrobků, kromě oděvů</v>
      </c>
    </row>
    <row r="423" spans="13:26">
      <c r="M423" s="305">
        <f>IF(ISNUMBER(SEARCH(ZAKL_DATA!$B$29,N423)),MAX($M$2:M422)+1,0)</f>
        <v>421</v>
      </c>
      <c r="N423" s="306" t="s">
        <v>2304</v>
      </c>
      <c r="O423" s="323" t="s">
        <v>2305</v>
      </c>
      <c r="P423" s="308"/>
      <c r="Q423" s="309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306" t="s">
        <v>2304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306" t="s">
        <v>2304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306" t="s">
        <v>2304</v>
      </c>
      <c r="Z423" t="str">
        <f>IFERROR(VLOOKUP(ROWS($Z$3:Z423),$X$3:$Y$992,2,0),"")</f>
        <v>Výroba koberců a kobercových předložek</v>
      </c>
    </row>
    <row r="424" spans="13:26">
      <c r="M424" s="305">
        <f>IF(ISNUMBER(SEARCH(ZAKL_DATA!$B$29,N424)),MAX($M$2:M423)+1,0)</f>
        <v>422</v>
      </c>
      <c r="N424" s="306" t="s">
        <v>2306</v>
      </c>
      <c r="O424" s="323" t="s">
        <v>2307</v>
      </c>
      <c r="P424" s="308"/>
      <c r="Q424" s="309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306" t="s">
        <v>2306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306" t="s">
        <v>2306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306" t="s">
        <v>2306</v>
      </c>
      <c r="Z424" t="str">
        <f>IFERROR(VLOOKUP(ROWS($Z$3:Z424),$X$3:$Y$992,2,0),"")</f>
        <v>Výroba lan, provazů a síťovaných výrobků</v>
      </c>
    </row>
    <row r="425" spans="13:26">
      <c r="M425" s="305">
        <f>IF(ISNUMBER(SEARCH(ZAKL_DATA!$B$29,N425)),MAX($M$2:M424)+1,0)</f>
        <v>423</v>
      </c>
      <c r="N425" s="306" t="s">
        <v>2308</v>
      </c>
      <c r="O425" s="323" t="s">
        <v>2309</v>
      </c>
      <c r="P425" s="308"/>
      <c r="Q425" s="309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306" t="s">
        <v>2308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306" t="s">
        <v>2308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306" t="s">
        <v>2308</v>
      </c>
      <c r="Z425" t="str">
        <f>IFERROR(VLOOKUP(ROWS($Z$3:Z425),$X$3:$Y$992,2,0),"")</f>
        <v>Výroba netkaných textilií a výrobků z nich, kromě oděvů</v>
      </c>
    </row>
    <row r="426" spans="13:26">
      <c r="M426" s="305">
        <f>IF(ISNUMBER(SEARCH(ZAKL_DATA!$B$29,N426)),MAX($M$2:M425)+1,0)</f>
        <v>424</v>
      </c>
      <c r="N426" s="306" t="s">
        <v>2310</v>
      </c>
      <c r="O426" s="323" t="s">
        <v>2311</v>
      </c>
      <c r="P426" s="308"/>
      <c r="Q426" s="309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306" t="s">
        <v>2310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306" t="s">
        <v>2310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306" t="s">
        <v>2310</v>
      </c>
      <c r="Z426" t="str">
        <f>IFERROR(VLOOKUP(ROWS($Z$3:Z426),$X$3:$Y$992,2,0),"")</f>
        <v>Výroba ostatních technických a průmyslových textilií</v>
      </c>
    </row>
    <row r="427" spans="13:26">
      <c r="M427" s="305">
        <f>IF(ISNUMBER(SEARCH(ZAKL_DATA!$B$29,N427)),MAX($M$2:M426)+1,0)</f>
        <v>425</v>
      </c>
      <c r="N427" s="306" t="s">
        <v>2312</v>
      </c>
      <c r="O427" s="323" t="s">
        <v>2313</v>
      </c>
      <c r="P427" s="308"/>
      <c r="Q427" s="309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306" t="s">
        <v>2312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306" t="s">
        <v>2312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306" t="s">
        <v>2312</v>
      </c>
      <c r="Z427" t="str">
        <f>IFERROR(VLOOKUP(ROWS($Z$3:Z427),$X$3:$Y$992,2,0),"")</f>
        <v>Výroba ostatních textilií j. n.</v>
      </c>
    </row>
    <row r="428" spans="13:26">
      <c r="M428" s="305">
        <f>IF(ISNUMBER(SEARCH(ZAKL_DATA!$B$29,N428)),MAX($M$2:M427)+1,0)</f>
        <v>426</v>
      </c>
      <c r="N428" s="306" t="s">
        <v>2314</v>
      </c>
      <c r="O428" s="323" t="s">
        <v>2315</v>
      </c>
      <c r="P428" s="308"/>
      <c r="Q428" s="309" t="str">
        <f>IFERROR(VLOOKUP(ROWS($Q$3:Q428),$M$3:$N$992,2,0),"")</f>
        <v>Výroba kožených oděvů</v>
      </c>
      <c r="R428">
        <f>IF(ISNUMBER(SEARCH('1Př1'!$A$32,N428)),MAX($M$2:M427)+1,0)</f>
        <v>426</v>
      </c>
      <c r="S428" s="306" t="s">
        <v>2314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306" t="s">
        <v>2314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306" t="s">
        <v>2314</v>
      </c>
      <c r="Z428" t="str">
        <f>IFERROR(VLOOKUP(ROWS($Z$3:Z428),$X$3:$Y$992,2,0),"")</f>
        <v>Výroba kožených oděvů</v>
      </c>
    </row>
    <row r="429" spans="13:26">
      <c r="M429" s="305">
        <f>IF(ISNUMBER(SEARCH(ZAKL_DATA!$B$29,N429)),MAX($M$2:M428)+1,0)</f>
        <v>427</v>
      </c>
      <c r="N429" s="306" t="s">
        <v>2316</v>
      </c>
      <c r="O429" s="323" t="s">
        <v>2317</v>
      </c>
      <c r="P429" s="308"/>
      <c r="Q429" s="309" t="str">
        <f>IFERROR(VLOOKUP(ROWS($Q$3:Q429),$M$3:$N$992,2,0),"")</f>
        <v>Výroba pracovních oděvů</v>
      </c>
      <c r="R429">
        <f>IF(ISNUMBER(SEARCH('1Př1'!$A$32,N429)),MAX($M$2:M428)+1,0)</f>
        <v>427</v>
      </c>
      <c r="S429" s="306" t="s">
        <v>2316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306" t="s">
        <v>2316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306" t="s">
        <v>2316</v>
      </c>
      <c r="Z429" t="str">
        <f>IFERROR(VLOOKUP(ROWS($Z$3:Z429),$X$3:$Y$992,2,0),"")</f>
        <v>Výroba pracovních oděvů</v>
      </c>
    </row>
    <row r="430" spans="13:26">
      <c r="M430" s="305">
        <f>IF(ISNUMBER(SEARCH(ZAKL_DATA!$B$29,N430)),MAX($M$2:M429)+1,0)</f>
        <v>428</v>
      </c>
      <c r="N430" s="306" t="s">
        <v>2318</v>
      </c>
      <c r="O430" s="323" t="s">
        <v>2319</v>
      </c>
      <c r="P430" s="308"/>
      <c r="Q430" s="309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306" t="s">
        <v>2318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306" t="s">
        <v>2318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306" t="s">
        <v>2318</v>
      </c>
      <c r="Z430" t="str">
        <f>IFERROR(VLOOKUP(ROWS($Z$3:Z430),$X$3:$Y$992,2,0),"")</f>
        <v>Výroba ostatních svrchních oděvů</v>
      </c>
    </row>
    <row r="431" spans="13:26">
      <c r="M431" s="305">
        <f>IF(ISNUMBER(SEARCH(ZAKL_DATA!$B$29,N431)),MAX($M$2:M430)+1,0)</f>
        <v>429</v>
      </c>
      <c r="N431" s="306" t="s">
        <v>2320</v>
      </c>
      <c r="O431" s="323" t="s">
        <v>2321</v>
      </c>
      <c r="P431" s="308"/>
      <c r="Q431" s="309" t="str">
        <f>IFERROR(VLOOKUP(ROWS($Q$3:Q431),$M$3:$N$992,2,0),"")</f>
        <v>Výroba osobního prádla</v>
      </c>
      <c r="R431">
        <f>IF(ISNUMBER(SEARCH('1Př1'!$A$32,N431)),MAX($M$2:M430)+1,0)</f>
        <v>429</v>
      </c>
      <c r="S431" s="306" t="s">
        <v>2320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306" t="s">
        <v>2320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306" t="s">
        <v>2320</v>
      </c>
      <c r="Z431" t="str">
        <f>IFERROR(VLOOKUP(ROWS($Z$3:Z431),$X$3:$Y$992,2,0),"")</f>
        <v>Výroba osobního prádla</v>
      </c>
    </row>
    <row r="432" spans="13:26">
      <c r="M432" s="305">
        <f>IF(ISNUMBER(SEARCH(ZAKL_DATA!$B$29,N432)),MAX($M$2:M431)+1,0)</f>
        <v>430</v>
      </c>
      <c r="N432" s="306" t="s">
        <v>2322</v>
      </c>
      <c r="O432" s="323" t="s">
        <v>2323</v>
      </c>
      <c r="P432" s="308"/>
      <c r="Q432" s="309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306" t="s">
        <v>2322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306" t="s">
        <v>2322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306" t="s">
        <v>2322</v>
      </c>
      <c r="Z432" t="str">
        <f>IFERROR(VLOOKUP(ROWS($Z$3:Z432),$X$3:$Y$992,2,0),"")</f>
        <v>Výroba ostatních oděvů a oděvních doplňků</v>
      </c>
    </row>
    <row r="433" spans="13:26">
      <c r="M433" s="305">
        <f>IF(ISNUMBER(SEARCH(ZAKL_DATA!$B$29,N433)),MAX($M$2:M432)+1,0)</f>
        <v>431</v>
      </c>
      <c r="N433" s="306" t="s">
        <v>2324</v>
      </c>
      <c r="O433" s="323" t="s">
        <v>2325</v>
      </c>
      <c r="P433" s="308"/>
      <c r="Q433" s="309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306" t="s">
        <v>2324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306" t="s">
        <v>2324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306" t="s">
        <v>2324</v>
      </c>
      <c r="Z433" t="str">
        <f>IFERROR(VLOOKUP(ROWS($Z$3:Z433),$X$3:$Y$992,2,0),"")</f>
        <v>Výroba pletených a háčkovaných punčochových výrobků</v>
      </c>
    </row>
    <row r="434" spans="13:26">
      <c r="M434" s="305">
        <f>IF(ISNUMBER(SEARCH(ZAKL_DATA!$B$29,N434)),MAX($M$2:M433)+1,0)</f>
        <v>432</v>
      </c>
      <c r="N434" s="306" t="s">
        <v>2326</v>
      </c>
      <c r="O434" s="323" t="s">
        <v>2327</v>
      </c>
      <c r="P434" s="308"/>
      <c r="Q434" s="309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306" t="s">
        <v>2326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306" t="s">
        <v>2326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306" t="s">
        <v>2326</v>
      </c>
      <c r="Z434" t="str">
        <f>IFERROR(VLOOKUP(ROWS($Z$3:Z434),$X$3:$Y$992,2,0),"")</f>
        <v>Výroba ostatních pletených a háčkovaných oděvů</v>
      </c>
    </row>
    <row r="435" spans="13:26">
      <c r="M435" s="305">
        <f>IF(ISNUMBER(SEARCH(ZAKL_DATA!$B$29,N435)),MAX($M$2:M434)+1,0)</f>
        <v>433</v>
      </c>
      <c r="N435" s="306" t="s">
        <v>2328</v>
      </c>
      <c r="O435" s="323" t="s">
        <v>2329</v>
      </c>
      <c r="P435" s="308"/>
      <c r="Q435" s="309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306" t="s">
        <v>2328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306" t="s">
        <v>2328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306" t="s">
        <v>2328</v>
      </c>
      <c r="Z435" t="str">
        <f>IFERROR(VLOOKUP(ROWS($Z$3:Z435),$X$3:$Y$992,2,0),"")</f>
        <v>Chov drobných hospodářských zvířat</v>
      </c>
    </row>
    <row r="436" spans="13:26">
      <c r="M436" s="305">
        <f>IF(ISNUMBER(SEARCH(ZAKL_DATA!$B$29,N436)),MAX($M$2:M435)+1,0)</f>
        <v>434</v>
      </c>
      <c r="N436" s="306" t="s">
        <v>2330</v>
      </c>
      <c r="O436" s="323" t="s">
        <v>2331</v>
      </c>
      <c r="P436" s="308"/>
      <c r="Q436" s="309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306" t="s">
        <v>2330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306" t="s">
        <v>2330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306" t="s">
        <v>2330</v>
      </c>
      <c r="Z436" t="str">
        <f>IFERROR(VLOOKUP(ROWS($Z$3:Z436),$X$3:$Y$992,2,0),"")</f>
        <v>Chov kožešinových zvířat</v>
      </c>
    </row>
    <row r="437" spans="13:26">
      <c r="M437" s="305">
        <f>IF(ISNUMBER(SEARCH(ZAKL_DATA!$B$29,N437)),MAX($M$2:M436)+1,0)</f>
        <v>435</v>
      </c>
      <c r="N437" s="306" t="s">
        <v>2332</v>
      </c>
      <c r="O437" s="323" t="s">
        <v>2333</v>
      </c>
      <c r="P437" s="308"/>
      <c r="Q437" s="309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306" t="s">
        <v>2332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306" t="s">
        <v>2332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306" t="s">
        <v>2332</v>
      </c>
      <c r="Z437" t="str">
        <f>IFERROR(VLOOKUP(ROWS($Z$3:Z437),$X$3:$Y$992,2,0),"")</f>
        <v>Chov zvířat pro zájmový chov</v>
      </c>
    </row>
    <row r="438" spans="13:26">
      <c r="M438" s="305">
        <f>IF(ISNUMBER(SEARCH(ZAKL_DATA!$B$29,N438)),MAX($M$2:M437)+1,0)</f>
        <v>436</v>
      </c>
      <c r="N438" s="306" t="s">
        <v>2334</v>
      </c>
      <c r="O438" s="323" t="s">
        <v>2335</v>
      </c>
      <c r="P438" s="308"/>
      <c r="Q438" s="309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306" t="s">
        <v>2334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306" t="s">
        <v>2334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306" t="s">
        <v>2334</v>
      </c>
      <c r="Z438" t="str">
        <f>IFERROR(VLOOKUP(ROWS($Z$3:Z438),$X$3:$Y$992,2,0),"")</f>
        <v>Chov ostatních zvířat j. n.</v>
      </c>
    </row>
    <row r="439" spans="13:26">
      <c r="M439" s="305">
        <f>IF(ISNUMBER(SEARCH(ZAKL_DATA!$B$29,N439)),MAX($M$2:M438)+1,0)</f>
        <v>437</v>
      </c>
      <c r="N439" s="306" t="s">
        <v>2336</v>
      </c>
      <c r="O439" s="323" t="s">
        <v>2337</v>
      </c>
      <c r="P439" s="308"/>
      <c r="Q439" s="309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306" t="s">
        <v>2336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306" t="s">
        <v>2336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306" t="s">
        <v>2336</v>
      </c>
      <c r="Z439" t="str">
        <f>IFERROR(VLOOKUP(ROWS($Z$3:Z439),$X$3:$Y$992,2,0),"")</f>
        <v>Činění a úprava usní (vyčiněných kůží); zpracování a barvení kožešin</v>
      </c>
    </row>
    <row r="440" spans="13:26">
      <c r="M440" s="305">
        <f>IF(ISNUMBER(SEARCH(ZAKL_DATA!$B$29,N440)),MAX($M$2:M439)+1,0)</f>
        <v>438</v>
      </c>
      <c r="N440" s="306" t="s">
        <v>2338</v>
      </c>
      <c r="O440" s="323" t="s">
        <v>2339</v>
      </c>
      <c r="P440" s="308"/>
      <c r="Q440" s="309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306" t="s">
        <v>2338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306" t="s">
        <v>2338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306" t="s">
        <v>2338</v>
      </c>
      <c r="Z440" t="str">
        <f>IFERROR(VLOOKUP(ROWS($Z$3:Z440),$X$3:$Y$992,2,0),"")</f>
        <v>Výroba brašnářských, sedlářských a podobných výrobků</v>
      </c>
    </row>
    <row r="441" spans="13:26">
      <c r="M441" s="305">
        <f>IF(ISNUMBER(SEARCH(ZAKL_DATA!$B$29,N441)),MAX($M$2:M440)+1,0)</f>
        <v>439</v>
      </c>
      <c r="N441" s="306" t="s">
        <v>2340</v>
      </c>
      <c r="O441" s="323" t="s">
        <v>2341</v>
      </c>
      <c r="P441" s="308"/>
      <c r="Q441" s="309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306" t="s">
        <v>2340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306" t="s">
        <v>2340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306" t="s">
        <v>2340</v>
      </c>
      <c r="Z441" t="str">
        <f>IFERROR(VLOOKUP(ROWS($Z$3:Z441),$X$3:$Y$992,2,0),"")</f>
        <v>Výroba dýh a desek na bázi dřeva</v>
      </c>
    </row>
    <row r="442" spans="13:26">
      <c r="M442" s="305">
        <f>IF(ISNUMBER(SEARCH(ZAKL_DATA!$B$29,N442)),MAX($M$2:M441)+1,0)</f>
        <v>440</v>
      </c>
      <c r="N442" s="306" t="s">
        <v>2342</v>
      </c>
      <c r="O442" s="323" t="s">
        <v>2343</v>
      </c>
      <c r="P442" s="308"/>
      <c r="Q442" s="309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306" t="s">
        <v>2342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306" t="s">
        <v>2342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306" t="s">
        <v>2342</v>
      </c>
      <c r="Z442" t="str">
        <f>IFERROR(VLOOKUP(ROWS($Z$3:Z442),$X$3:$Y$992,2,0),"")</f>
        <v>Výroba sestavených parketových podlah</v>
      </c>
    </row>
    <row r="443" spans="13:26">
      <c r="M443" s="305">
        <f>IF(ISNUMBER(SEARCH(ZAKL_DATA!$B$29,N443)),MAX($M$2:M442)+1,0)</f>
        <v>441</v>
      </c>
      <c r="N443" s="306" t="s">
        <v>2344</v>
      </c>
      <c r="O443" s="323" t="s">
        <v>2345</v>
      </c>
      <c r="P443" s="308"/>
      <c r="Q443" s="309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306" t="s">
        <v>2344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306" t="s">
        <v>2344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306" t="s">
        <v>2344</v>
      </c>
      <c r="Z443" t="str">
        <f>IFERROR(VLOOKUP(ROWS($Z$3:Z443),$X$3:$Y$992,2,0),"")</f>
        <v>Výroba ostatních výrobků stavebního truhlářství a tesařství</v>
      </c>
    </row>
    <row r="444" spans="13:26">
      <c r="M444" s="305">
        <f>IF(ISNUMBER(SEARCH(ZAKL_DATA!$B$29,N444)),MAX($M$2:M443)+1,0)</f>
        <v>442</v>
      </c>
      <c r="N444" s="306" t="s">
        <v>2346</v>
      </c>
      <c r="O444" s="323" t="s">
        <v>2347</v>
      </c>
      <c r="P444" s="308"/>
      <c r="Q444" s="309" t="str">
        <f>IFERROR(VLOOKUP(ROWS($Q$3:Q444),$M$3:$N$992,2,0),"")</f>
        <v>Výroba dřevěných obalů</v>
      </c>
      <c r="R444">
        <f>IF(ISNUMBER(SEARCH('1Př1'!$A$32,N444)),MAX($M$2:M443)+1,0)</f>
        <v>442</v>
      </c>
      <c r="S444" s="306" t="s">
        <v>2346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306" t="s">
        <v>2346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306" t="s">
        <v>2346</v>
      </c>
      <c r="Z444" t="str">
        <f>IFERROR(VLOOKUP(ROWS($Z$3:Z444),$X$3:$Y$992,2,0),"")</f>
        <v>Výroba dřevěných obalů</v>
      </c>
    </row>
    <row r="445" spans="13:26">
      <c r="M445" s="305">
        <f>IF(ISNUMBER(SEARCH(ZAKL_DATA!$B$29,N445)),MAX($M$2:M444)+1,0)</f>
        <v>443</v>
      </c>
      <c r="N445" s="306" t="s">
        <v>2348</v>
      </c>
      <c r="O445" s="323" t="s">
        <v>2349</v>
      </c>
      <c r="P445" s="308"/>
      <c r="Q445" s="309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306" t="s">
        <v>2348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306" t="s">
        <v>2348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306" t="s">
        <v>2348</v>
      </c>
      <c r="Z445" t="str">
        <f>IFERROR(VLOOKUP(ROWS($Z$3:Z445),$X$3:$Y$992,2,0),"")</f>
        <v>Výroba ost.dřevěných,korkových,proutěných a slaměných výr.,kromě nábytku</v>
      </c>
    </row>
    <row r="446" spans="13:26">
      <c r="M446" s="305">
        <f>IF(ISNUMBER(SEARCH(ZAKL_DATA!$B$29,N446)),MAX($M$2:M445)+1,0)</f>
        <v>444</v>
      </c>
      <c r="N446" s="306" t="s">
        <v>2350</v>
      </c>
      <c r="O446" s="323" t="s">
        <v>2351</v>
      </c>
      <c r="P446" s="308"/>
      <c r="Q446" s="309" t="str">
        <f>IFERROR(VLOOKUP(ROWS($Q$3:Q446),$M$3:$N$992,2,0),"")</f>
        <v>Výroba buničiny</v>
      </c>
      <c r="R446">
        <f>IF(ISNUMBER(SEARCH('1Př1'!$A$32,N446)),MAX($M$2:M445)+1,0)</f>
        <v>444</v>
      </c>
      <c r="S446" s="306" t="s">
        <v>2350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306" t="s">
        <v>2350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306" t="s">
        <v>2350</v>
      </c>
      <c r="Z446" t="str">
        <f>IFERROR(VLOOKUP(ROWS($Z$3:Z446),$X$3:$Y$992,2,0),"")</f>
        <v>Výroba buničiny</v>
      </c>
    </row>
    <row r="447" spans="13:26">
      <c r="M447" s="305">
        <f>IF(ISNUMBER(SEARCH(ZAKL_DATA!$B$29,N447)),MAX($M$2:M446)+1,0)</f>
        <v>445</v>
      </c>
      <c r="N447" s="306" t="s">
        <v>2352</v>
      </c>
      <c r="O447" s="323" t="s">
        <v>2353</v>
      </c>
      <c r="P447" s="308"/>
      <c r="Q447" s="309" t="str">
        <f>IFERROR(VLOOKUP(ROWS($Q$3:Q447),$M$3:$N$992,2,0),"")</f>
        <v>Výroba papíru a lepenky</v>
      </c>
      <c r="R447">
        <f>IF(ISNUMBER(SEARCH('1Př1'!$A$32,N447)),MAX($M$2:M446)+1,0)</f>
        <v>445</v>
      </c>
      <c r="S447" s="306" t="s">
        <v>2352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306" t="s">
        <v>2352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306" t="s">
        <v>2352</v>
      </c>
      <c r="Z447" t="str">
        <f>IFERROR(VLOOKUP(ROWS($Z$3:Z447),$X$3:$Y$992,2,0),"")</f>
        <v>Výroba papíru a lepenky</v>
      </c>
    </row>
    <row r="448" spans="13:26">
      <c r="M448" s="305">
        <f>IF(ISNUMBER(SEARCH(ZAKL_DATA!$B$29,N448)),MAX($M$2:M447)+1,0)</f>
        <v>446</v>
      </c>
      <c r="N448" s="306" t="s">
        <v>2354</v>
      </c>
      <c r="O448" s="323" t="s">
        <v>2355</v>
      </c>
      <c r="P448" s="308"/>
      <c r="Q448" s="309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306" t="s">
        <v>2354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306" t="s">
        <v>2354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306" t="s">
        <v>2354</v>
      </c>
      <c r="Z448" t="str">
        <f>IFERROR(VLOOKUP(ROWS($Z$3:Z448),$X$3:$Y$992,2,0),"")</f>
        <v>Výroba vlnitého papíru a lepenky, papírových a lepenkových obalů</v>
      </c>
    </row>
    <row r="449" spans="13:26">
      <c r="M449" s="305">
        <f>IF(ISNUMBER(SEARCH(ZAKL_DATA!$B$29,N449)),MAX($M$2:M448)+1,0)</f>
        <v>447</v>
      </c>
      <c r="N449" s="306" t="s">
        <v>2356</v>
      </c>
      <c r="O449" s="323" t="s">
        <v>2357</v>
      </c>
      <c r="P449" s="308"/>
      <c r="Q449" s="309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306" t="s">
        <v>2356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306" t="s">
        <v>2356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306" t="s">
        <v>2356</v>
      </c>
      <c r="Z449" t="str">
        <f>IFERROR(VLOOKUP(ROWS($Z$3:Z449),$X$3:$Y$992,2,0),"")</f>
        <v>Výroba domácích potřeb, hygienických a toaletních výrobků z papíru</v>
      </c>
    </row>
    <row r="450" spans="13:26">
      <c r="M450" s="305">
        <f>IF(ISNUMBER(SEARCH(ZAKL_DATA!$B$29,N450)),MAX($M$2:M449)+1,0)</f>
        <v>448</v>
      </c>
      <c r="N450" s="306" t="s">
        <v>2358</v>
      </c>
      <c r="O450" s="323" t="s">
        <v>2359</v>
      </c>
      <c r="P450" s="308"/>
      <c r="Q450" s="309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306" t="s">
        <v>2358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306" t="s">
        <v>2358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306" t="s">
        <v>2358</v>
      </c>
      <c r="Z450" t="str">
        <f>IFERROR(VLOOKUP(ROWS($Z$3:Z450),$X$3:$Y$992,2,0),"")</f>
        <v>Výroba kancelářských potřeb z papíru</v>
      </c>
    </row>
    <row r="451" spans="13:26">
      <c r="M451" s="305">
        <f>IF(ISNUMBER(SEARCH(ZAKL_DATA!$B$29,N451)),MAX($M$2:M450)+1,0)</f>
        <v>449</v>
      </c>
      <c r="N451" s="306" t="s">
        <v>2360</v>
      </c>
      <c r="O451" s="323" t="s">
        <v>2361</v>
      </c>
      <c r="P451" s="308"/>
      <c r="Q451" s="309" t="str">
        <f>IFERROR(VLOOKUP(ROWS($Q$3:Q451),$M$3:$N$992,2,0),"")</f>
        <v>Výroba tapet</v>
      </c>
      <c r="R451">
        <f>IF(ISNUMBER(SEARCH('1Př1'!$A$32,N451)),MAX($M$2:M450)+1,0)</f>
        <v>449</v>
      </c>
      <c r="S451" s="306" t="s">
        <v>2360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306" t="s">
        <v>2360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306" t="s">
        <v>2360</v>
      </c>
      <c r="Z451" t="str">
        <f>IFERROR(VLOOKUP(ROWS($Z$3:Z451),$X$3:$Y$992,2,0),"")</f>
        <v>Výroba tapet</v>
      </c>
    </row>
    <row r="452" spans="13:26">
      <c r="M452" s="305">
        <f>IF(ISNUMBER(SEARCH(ZAKL_DATA!$B$29,N452)),MAX($M$2:M451)+1,0)</f>
        <v>450</v>
      </c>
      <c r="N452" s="306" t="s">
        <v>2362</v>
      </c>
      <c r="O452" s="323" t="s">
        <v>2363</v>
      </c>
      <c r="P452" s="308"/>
      <c r="Q452" s="309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306" t="s">
        <v>2362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306" t="s">
        <v>2362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306" t="s">
        <v>2362</v>
      </c>
      <c r="Z452" t="str">
        <f>IFERROR(VLOOKUP(ROWS($Z$3:Z452),$X$3:$Y$992,2,0),"")</f>
        <v>Výroba ostatních výrobků z papíru a lepenky</v>
      </c>
    </row>
    <row r="453" spans="13:26">
      <c r="M453" s="305">
        <f>IF(ISNUMBER(SEARCH(ZAKL_DATA!$B$29,N453)),MAX($M$2:M452)+1,0)</f>
        <v>451</v>
      </c>
      <c r="N453" s="306" t="s">
        <v>2364</v>
      </c>
      <c r="O453" s="323" t="s">
        <v>2365</v>
      </c>
      <c r="P453" s="308"/>
      <c r="Q453" s="309" t="str">
        <f>IFERROR(VLOOKUP(ROWS($Q$3:Q453),$M$3:$N$992,2,0),"")</f>
        <v>Tisk novin</v>
      </c>
      <c r="R453">
        <f>IF(ISNUMBER(SEARCH('1Př1'!$A$32,N453)),MAX($M$2:M452)+1,0)</f>
        <v>451</v>
      </c>
      <c r="S453" s="306" t="s">
        <v>2364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306" t="s">
        <v>2364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306" t="s">
        <v>2364</v>
      </c>
      <c r="Z453" t="str">
        <f>IFERROR(VLOOKUP(ROWS($Z$3:Z453),$X$3:$Y$992,2,0),"")</f>
        <v>Tisk novin</v>
      </c>
    </row>
    <row r="454" spans="13:26">
      <c r="M454" s="305">
        <f>IF(ISNUMBER(SEARCH(ZAKL_DATA!$B$29,N454)),MAX($M$2:M453)+1,0)</f>
        <v>452</v>
      </c>
      <c r="N454" s="306" t="s">
        <v>2366</v>
      </c>
      <c r="O454" s="323" t="s">
        <v>2367</v>
      </c>
      <c r="P454" s="308"/>
      <c r="Q454" s="309" t="str">
        <f>IFERROR(VLOOKUP(ROWS($Q$3:Q454),$M$3:$N$992,2,0),"")</f>
        <v>Tisk ostatní, kromě novin</v>
      </c>
      <c r="R454">
        <f>IF(ISNUMBER(SEARCH('1Př1'!$A$32,N454)),MAX($M$2:M453)+1,0)</f>
        <v>452</v>
      </c>
      <c r="S454" s="306" t="s">
        <v>2366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306" t="s">
        <v>2366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306" t="s">
        <v>2366</v>
      </c>
      <c r="Z454" t="str">
        <f>IFERROR(VLOOKUP(ROWS($Z$3:Z454),$X$3:$Y$992,2,0),"")</f>
        <v>Tisk ostatní, kromě novin</v>
      </c>
    </row>
    <row r="455" spans="13:26">
      <c r="M455" s="305">
        <f>IF(ISNUMBER(SEARCH(ZAKL_DATA!$B$29,N455)),MAX($M$2:M454)+1,0)</f>
        <v>453</v>
      </c>
      <c r="N455" s="306" t="s">
        <v>2368</v>
      </c>
      <c r="O455" s="323" t="s">
        <v>2369</v>
      </c>
      <c r="P455" s="308"/>
      <c r="Q455" s="309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306" t="s">
        <v>2368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306" t="s">
        <v>2368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306" t="s">
        <v>2368</v>
      </c>
      <c r="Z455" t="str">
        <f>IFERROR(VLOOKUP(ROWS($Z$3:Z455),$X$3:$Y$992,2,0),"")</f>
        <v>Příprava tisku a digitálních dat</v>
      </c>
    </row>
    <row r="456" spans="13:26">
      <c r="M456" s="305">
        <f>IF(ISNUMBER(SEARCH(ZAKL_DATA!$B$29,N456)),MAX($M$2:M455)+1,0)</f>
        <v>454</v>
      </c>
      <c r="N456" s="306" t="s">
        <v>2370</v>
      </c>
      <c r="O456" s="323" t="s">
        <v>2371</v>
      </c>
      <c r="P456" s="308"/>
      <c r="Q456" s="309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306" t="s">
        <v>2370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306" t="s">
        <v>2370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306" t="s">
        <v>2370</v>
      </c>
      <c r="Z456" t="str">
        <f>IFERROR(VLOOKUP(ROWS($Z$3:Z456),$X$3:$Y$992,2,0),"")</f>
        <v>Vázání a související činnosti</v>
      </c>
    </row>
    <row r="457" spans="13:26">
      <c r="M457" s="305">
        <f>IF(ISNUMBER(SEARCH(ZAKL_DATA!$B$29,N457)),MAX($M$2:M456)+1,0)</f>
        <v>455</v>
      </c>
      <c r="N457" s="306" t="s">
        <v>2372</v>
      </c>
      <c r="O457" s="323" t="s">
        <v>2373</v>
      </c>
      <c r="P457" s="308"/>
      <c r="Q457" s="309" t="str">
        <f>IFERROR(VLOOKUP(ROWS($Q$3:Q457),$M$3:$N$992,2,0),"")</f>
        <v>Výroba technických plynů</v>
      </c>
      <c r="R457">
        <f>IF(ISNUMBER(SEARCH('1Př1'!$A$32,N457)),MAX($M$2:M456)+1,0)</f>
        <v>455</v>
      </c>
      <c r="S457" s="306" t="s">
        <v>2372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306" t="s">
        <v>2372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306" t="s">
        <v>2372</v>
      </c>
      <c r="Z457" t="str">
        <f>IFERROR(VLOOKUP(ROWS($Z$3:Z457),$X$3:$Y$992,2,0),"")</f>
        <v>Výroba technických plynů</v>
      </c>
    </row>
    <row r="458" spans="13:26">
      <c r="M458" s="305">
        <f>IF(ISNUMBER(SEARCH(ZAKL_DATA!$B$29,N458)),MAX($M$2:M457)+1,0)</f>
        <v>456</v>
      </c>
      <c r="N458" s="306" t="s">
        <v>2374</v>
      </c>
      <c r="O458" s="323" t="s">
        <v>2375</v>
      </c>
      <c r="P458" s="308"/>
      <c r="Q458" s="309" t="str">
        <f>IFERROR(VLOOKUP(ROWS($Q$3:Q458),$M$3:$N$992,2,0),"")</f>
        <v>Výroba barviv a pigmentů</v>
      </c>
      <c r="R458">
        <f>IF(ISNUMBER(SEARCH('1Př1'!$A$32,N458)),MAX($M$2:M457)+1,0)</f>
        <v>456</v>
      </c>
      <c r="S458" s="306" t="s">
        <v>2374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306" t="s">
        <v>2374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306" t="s">
        <v>2374</v>
      </c>
      <c r="Z458" t="str">
        <f>IFERROR(VLOOKUP(ROWS($Z$3:Z458),$X$3:$Y$992,2,0),"")</f>
        <v>Výroba barviv a pigmentů</v>
      </c>
    </row>
    <row r="459" spans="13:26">
      <c r="M459" s="305">
        <f>IF(ISNUMBER(SEARCH(ZAKL_DATA!$B$29,N459)),MAX($M$2:M458)+1,0)</f>
        <v>457</v>
      </c>
      <c r="N459" s="306" t="s">
        <v>2376</v>
      </c>
      <c r="O459" s="323" t="s">
        <v>2377</v>
      </c>
      <c r="P459" s="308"/>
      <c r="Q459" s="309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306" t="s">
        <v>2376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306" t="s">
        <v>2376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306" t="s">
        <v>2376</v>
      </c>
      <c r="Z459" t="str">
        <f>IFERROR(VLOOKUP(ROWS($Z$3:Z459),$X$3:$Y$992,2,0),"")</f>
        <v>Výroba jiných základních anorganických chemických látek</v>
      </c>
    </row>
    <row r="460" spans="13:26">
      <c r="M460" s="305">
        <f>IF(ISNUMBER(SEARCH(ZAKL_DATA!$B$29,N460)),MAX($M$2:M459)+1,0)</f>
        <v>458</v>
      </c>
      <c r="N460" s="306" t="s">
        <v>2378</v>
      </c>
      <c r="O460" s="323" t="s">
        <v>2379</v>
      </c>
      <c r="P460" s="308"/>
      <c r="Q460" s="309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306" t="s">
        <v>2378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306" t="s">
        <v>2378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306" t="s">
        <v>2378</v>
      </c>
      <c r="Z460" t="str">
        <f>IFERROR(VLOOKUP(ROWS($Z$3:Z460),$X$3:$Y$992,2,0),"")</f>
        <v>Výroba jiných základních organických chemických látek</v>
      </c>
    </row>
    <row r="461" spans="13:26">
      <c r="M461" s="305">
        <f>IF(ISNUMBER(SEARCH(ZAKL_DATA!$B$29,N461)),MAX($M$2:M460)+1,0)</f>
        <v>459</v>
      </c>
      <c r="N461" s="306" t="s">
        <v>2380</v>
      </c>
      <c r="O461" s="323" t="s">
        <v>2381</v>
      </c>
      <c r="P461" s="308"/>
      <c r="Q461" s="309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306" t="s">
        <v>2380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306" t="s">
        <v>2380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306" t="s">
        <v>2380</v>
      </c>
      <c r="Z461" t="str">
        <f>IFERROR(VLOOKUP(ROWS($Z$3:Z461),$X$3:$Y$992,2,0),"")</f>
        <v>Výroba hnojiv a dusíkatých sloučenin</v>
      </c>
    </row>
    <row r="462" spans="13:26">
      <c r="M462" s="305">
        <f>IF(ISNUMBER(SEARCH(ZAKL_DATA!$B$29,N462)),MAX($M$2:M461)+1,0)</f>
        <v>460</v>
      </c>
      <c r="N462" s="306" t="s">
        <v>2382</v>
      </c>
      <c r="O462" s="323" t="s">
        <v>2383</v>
      </c>
      <c r="P462" s="308"/>
      <c r="Q462" s="309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306" t="s">
        <v>2382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306" t="s">
        <v>2382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306" t="s">
        <v>2382</v>
      </c>
      <c r="Z462" t="str">
        <f>IFERROR(VLOOKUP(ROWS($Z$3:Z462),$X$3:$Y$992,2,0),"")</f>
        <v>Výroba plastů v primárních formách</v>
      </c>
    </row>
    <row r="463" spans="13:26">
      <c r="M463" s="305">
        <f>IF(ISNUMBER(SEARCH(ZAKL_DATA!$B$29,N463)),MAX($M$2:M462)+1,0)</f>
        <v>461</v>
      </c>
      <c r="N463" s="306" t="s">
        <v>2384</v>
      </c>
      <c r="O463" s="323" t="s">
        <v>2385</v>
      </c>
      <c r="P463" s="308"/>
      <c r="Q463" s="309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306" t="s">
        <v>2384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306" t="s">
        <v>2384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306" t="s">
        <v>2384</v>
      </c>
      <c r="Z463" t="str">
        <f>IFERROR(VLOOKUP(ROWS($Z$3:Z463),$X$3:$Y$992,2,0),"")</f>
        <v>Výroba syntetického kaučuku v primárních formách</v>
      </c>
    </row>
    <row r="464" spans="13:26">
      <c r="M464" s="305">
        <f>IF(ISNUMBER(SEARCH(ZAKL_DATA!$B$29,N464)),MAX($M$2:M463)+1,0)</f>
        <v>462</v>
      </c>
      <c r="N464" s="306" t="s">
        <v>2386</v>
      </c>
      <c r="O464" s="323" t="s">
        <v>2387</v>
      </c>
      <c r="P464" s="308"/>
      <c r="Q464" s="309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306" t="s">
        <v>2386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306" t="s">
        <v>2386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306" t="s">
        <v>2386</v>
      </c>
      <c r="Z464" t="str">
        <f>IFERROR(VLOOKUP(ROWS($Z$3:Z464),$X$3:$Y$992,2,0),"")</f>
        <v>Výroba mýdel a detergentů, čisticích a lešticích prostředků</v>
      </c>
    </row>
    <row r="465" spans="13:26">
      <c r="M465" s="305">
        <f>IF(ISNUMBER(SEARCH(ZAKL_DATA!$B$29,N465)),MAX($M$2:M464)+1,0)</f>
        <v>463</v>
      </c>
      <c r="N465" s="306" t="s">
        <v>2388</v>
      </c>
      <c r="O465" s="323" t="s">
        <v>2389</v>
      </c>
      <c r="P465" s="308"/>
      <c r="Q465" s="309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306" t="s">
        <v>2388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306" t="s">
        <v>2388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306" t="s">
        <v>2388</v>
      </c>
      <c r="Z465" t="str">
        <f>IFERROR(VLOOKUP(ROWS($Z$3:Z465),$X$3:$Y$992,2,0),"")</f>
        <v>Výroba parfémů a toaletních přípravků</v>
      </c>
    </row>
    <row r="466" spans="13:26">
      <c r="M466" s="305">
        <f>IF(ISNUMBER(SEARCH(ZAKL_DATA!$B$29,N466)),MAX($M$2:M465)+1,0)</f>
        <v>464</v>
      </c>
      <c r="N466" s="306" t="s">
        <v>2390</v>
      </c>
      <c r="O466" s="323" t="s">
        <v>2391</v>
      </c>
      <c r="P466" s="308"/>
      <c r="Q466" s="309" t="str">
        <f>IFERROR(VLOOKUP(ROWS($Q$3:Q466),$M$3:$N$992,2,0),"")</f>
        <v>Výroba výbušnin</v>
      </c>
      <c r="R466">
        <f>IF(ISNUMBER(SEARCH('1Př1'!$A$32,N466)),MAX($M$2:M465)+1,0)</f>
        <v>464</v>
      </c>
      <c r="S466" s="306" t="s">
        <v>2390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306" t="s">
        <v>2390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306" t="s">
        <v>2390</v>
      </c>
      <c r="Z466" t="str">
        <f>IFERROR(VLOOKUP(ROWS($Z$3:Z466),$X$3:$Y$992,2,0),"")</f>
        <v>Výroba výbušnin</v>
      </c>
    </row>
    <row r="467" spans="13:26">
      <c r="M467" s="305">
        <f>IF(ISNUMBER(SEARCH(ZAKL_DATA!$B$29,N467)),MAX($M$2:M466)+1,0)</f>
        <v>465</v>
      </c>
      <c r="N467" s="306" t="s">
        <v>2392</v>
      </c>
      <c r="O467" s="323" t="s">
        <v>2393</v>
      </c>
      <c r="P467" s="308"/>
      <c r="Q467" s="309" t="str">
        <f>IFERROR(VLOOKUP(ROWS($Q$3:Q467),$M$3:$N$992,2,0),"")</f>
        <v>Výroba klihů</v>
      </c>
      <c r="R467">
        <f>IF(ISNUMBER(SEARCH('1Př1'!$A$32,N467)),MAX($M$2:M466)+1,0)</f>
        <v>465</v>
      </c>
      <c r="S467" s="306" t="s">
        <v>2392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306" t="s">
        <v>2392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306" t="s">
        <v>2392</v>
      </c>
      <c r="Z467" t="str">
        <f>IFERROR(VLOOKUP(ROWS($Z$3:Z467),$X$3:$Y$992,2,0),"")</f>
        <v>Výroba klihů</v>
      </c>
    </row>
    <row r="468" spans="13:26">
      <c r="M468" s="305">
        <f>IF(ISNUMBER(SEARCH(ZAKL_DATA!$B$29,N468)),MAX($M$2:M467)+1,0)</f>
        <v>466</v>
      </c>
      <c r="N468" s="306" t="s">
        <v>2394</v>
      </c>
      <c r="O468" s="323" t="s">
        <v>2395</v>
      </c>
      <c r="P468" s="308"/>
      <c r="Q468" s="309" t="str">
        <f>IFERROR(VLOOKUP(ROWS($Q$3:Q468),$M$3:$N$992,2,0),"")</f>
        <v>Výroba vonných silic</v>
      </c>
      <c r="R468">
        <f>IF(ISNUMBER(SEARCH('1Př1'!$A$32,N468)),MAX($M$2:M467)+1,0)</f>
        <v>466</v>
      </c>
      <c r="S468" s="306" t="s">
        <v>2394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306" t="s">
        <v>2394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306" t="s">
        <v>2394</v>
      </c>
      <c r="Z468" t="str">
        <f>IFERROR(VLOOKUP(ROWS($Z$3:Z468),$X$3:$Y$992,2,0),"")</f>
        <v>Výroba vonných silic</v>
      </c>
    </row>
    <row r="469" spans="13:26">
      <c r="M469" s="305">
        <f>IF(ISNUMBER(SEARCH(ZAKL_DATA!$B$29,N469)),MAX($M$2:M468)+1,0)</f>
        <v>467</v>
      </c>
      <c r="N469" s="306" t="s">
        <v>2396</v>
      </c>
      <c r="O469" s="323" t="s">
        <v>2397</v>
      </c>
      <c r="P469" s="308"/>
      <c r="Q469" s="309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306" t="s">
        <v>2396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306" t="s">
        <v>2396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306" t="s">
        <v>2396</v>
      </c>
      <c r="Z469" t="str">
        <f>IFERROR(VLOOKUP(ROWS($Z$3:Z469),$X$3:$Y$992,2,0),"")</f>
        <v>Výroba ostatních chemických výrobků j. n.</v>
      </c>
    </row>
    <row r="470" spans="13:26">
      <c r="M470" s="305">
        <f>IF(ISNUMBER(SEARCH(ZAKL_DATA!$B$29,N470)),MAX($M$2:M469)+1,0)</f>
        <v>468</v>
      </c>
      <c r="N470" s="306" t="s">
        <v>2398</v>
      </c>
      <c r="O470" s="323" t="s">
        <v>2399</v>
      </c>
      <c r="P470" s="308"/>
      <c r="Q470" s="309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306" t="s">
        <v>2398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306" t="s">
        <v>2398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306" t="s">
        <v>2398</v>
      </c>
      <c r="Z470" t="str">
        <f>IFERROR(VLOOKUP(ROWS($Z$3:Z470),$X$3:$Y$992,2,0),"")</f>
        <v>Výroba pryžových plášťů a duší; protektorování pneumatik</v>
      </c>
    </row>
    <row r="471" spans="13:26">
      <c r="M471" s="305">
        <f>IF(ISNUMBER(SEARCH(ZAKL_DATA!$B$29,N471)),MAX($M$2:M470)+1,0)</f>
        <v>469</v>
      </c>
      <c r="N471" s="306" t="s">
        <v>2400</v>
      </c>
      <c r="O471" s="323" t="s">
        <v>2401</v>
      </c>
      <c r="P471" s="308"/>
      <c r="Q471" s="309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306" t="s">
        <v>2400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306" t="s">
        <v>2400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306" t="s">
        <v>2400</v>
      </c>
      <c r="Z471" t="str">
        <f>IFERROR(VLOOKUP(ROWS($Z$3:Z471),$X$3:$Y$992,2,0),"")</f>
        <v>Výroba ostatních pryžových výrobků</v>
      </c>
    </row>
    <row r="472" spans="13:26">
      <c r="M472" s="305">
        <f>IF(ISNUMBER(SEARCH(ZAKL_DATA!$B$29,N472)),MAX($M$2:M471)+1,0)</f>
        <v>470</v>
      </c>
      <c r="N472" s="306" t="s">
        <v>2402</v>
      </c>
      <c r="O472" s="323" t="s">
        <v>2403</v>
      </c>
      <c r="P472" s="308"/>
      <c r="Q472" s="309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306" t="s">
        <v>2402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306" t="s">
        <v>2402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306" t="s">
        <v>2402</v>
      </c>
      <c r="Z472" t="str">
        <f>IFERROR(VLOOKUP(ROWS($Z$3:Z472),$X$3:$Y$992,2,0),"")</f>
        <v>Výroba plastových desek, fólií, hadic, trubek a profilů</v>
      </c>
    </row>
    <row r="473" spans="13:26">
      <c r="M473" s="305">
        <f>IF(ISNUMBER(SEARCH(ZAKL_DATA!$B$29,N473)),MAX($M$2:M472)+1,0)</f>
        <v>471</v>
      </c>
      <c r="N473" s="306" t="s">
        <v>2404</v>
      </c>
      <c r="O473" s="323" t="s">
        <v>2405</v>
      </c>
      <c r="P473" s="308"/>
      <c r="Q473" s="309" t="str">
        <f>IFERROR(VLOOKUP(ROWS($Q$3:Q473),$M$3:$N$992,2,0),"")</f>
        <v>Výroba plastových obalů</v>
      </c>
      <c r="R473">
        <f>IF(ISNUMBER(SEARCH('1Př1'!$A$32,N473)),MAX($M$2:M472)+1,0)</f>
        <v>471</v>
      </c>
      <c r="S473" s="306" t="s">
        <v>2404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306" t="s">
        <v>2404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306" t="s">
        <v>2404</v>
      </c>
      <c r="Z473" t="str">
        <f>IFERROR(VLOOKUP(ROWS($Z$3:Z473),$X$3:$Y$992,2,0),"")</f>
        <v>Výroba plastových obalů</v>
      </c>
    </row>
    <row r="474" spans="13:26">
      <c r="M474" s="305">
        <f>IF(ISNUMBER(SEARCH(ZAKL_DATA!$B$29,N474)),MAX($M$2:M473)+1,0)</f>
        <v>472</v>
      </c>
      <c r="N474" s="306" t="s">
        <v>2406</v>
      </c>
      <c r="O474" s="323" t="s">
        <v>2407</v>
      </c>
      <c r="P474" s="308"/>
      <c r="Q474" s="309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306" t="s">
        <v>2406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306" t="s">
        <v>2406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306" t="s">
        <v>2406</v>
      </c>
      <c r="Z474" t="str">
        <f>IFERROR(VLOOKUP(ROWS($Z$3:Z474),$X$3:$Y$992,2,0),"")</f>
        <v>Výroba plastových výrobků pro stavebnictví</v>
      </c>
    </row>
    <row r="475" spans="13:26">
      <c r="M475" s="305">
        <f>IF(ISNUMBER(SEARCH(ZAKL_DATA!$B$29,N475)),MAX($M$2:M474)+1,0)</f>
        <v>473</v>
      </c>
      <c r="N475" s="306" t="s">
        <v>2408</v>
      </c>
      <c r="O475" s="323" t="s">
        <v>2409</v>
      </c>
      <c r="P475" s="308"/>
      <c r="Q475" s="309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306" t="s">
        <v>2408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306" t="s">
        <v>2408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306" t="s">
        <v>2408</v>
      </c>
      <c r="Z475" t="str">
        <f>IFERROR(VLOOKUP(ROWS($Z$3:Z475),$X$3:$Y$992,2,0),"")</f>
        <v>Výroba ostatních plastových výrobků</v>
      </c>
    </row>
    <row r="476" spans="13:26">
      <c r="M476" s="305">
        <f>IF(ISNUMBER(SEARCH(ZAKL_DATA!$B$29,N476)),MAX($M$2:M475)+1,0)</f>
        <v>474</v>
      </c>
      <c r="N476" s="306" t="s">
        <v>2410</v>
      </c>
      <c r="O476" s="323" t="s">
        <v>2411</v>
      </c>
      <c r="P476" s="308"/>
      <c r="Q476" s="309" t="str">
        <f>IFERROR(VLOOKUP(ROWS($Q$3:Q476),$M$3:$N$992,2,0),"")</f>
        <v>Výroba plochého skla</v>
      </c>
      <c r="R476">
        <f>IF(ISNUMBER(SEARCH('1Př1'!$A$32,N476)),MAX($M$2:M475)+1,0)</f>
        <v>474</v>
      </c>
      <c r="S476" s="306" t="s">
        <v>2410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306" t="s">
        <v>2410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306" t="s">
        <v>2410</v>
      </c>
      <c r="Z476" t="str">
        <f>IFERROR(VLOOKUP(ROWS($Z$3:Z476),$X$3:$Y$992,2,0),"")</f>
        <v>Výroba plochého skla</v>
      </c>
    </row>
    <row r="477" spans="13:26">
      <c r="M477" s="305">
        <f>IF(ISNUMBER(SEARCH(ZAKL_DATA!$B$29,N477)),MAX($M$2:M476)+1,0)</f>
        <v>475</v>
      </c>
      <c r="N477" s="306" t="s">
        <v>2412</v>
      </c>
      <c r="O477" s="323" t="s">
        <v>2413</v>
      </c>
      <c r="P477" s="308"/>
      <c r="Q477" s="309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306" t="s">
        <v>2412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306" t="s">
        <v>2412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306" t="s">
        <v>2412</v>
      </c>
      <c r="Z477" t="str">
        <f>IFERROR(VLOOKUP(ROWS($Z$3:Z477),$X$3:$Y$992,2,0),"")</f>
        <v>Tvarování a zpracování plochého skla</v>
      </c>
    </row>
    <row r="478" spans="13:26">
      <c r="M478" s="305">
        <f>IF(ISNUMBER(SEARCH(ZAKL_DATA!$B$29,N478)),MAX($M$2:M477)+1,0)</f>
        <v>476</v>
      </c>
      <c r="N478" s="306" t="s">
        <v>2414</v>
      </c>
      <c r="O478" s="323" t="s">
        <v>2415</v>
      </c>
      <c r="P478" s="308"/>
      <c r="Q478" s="309" t="str">
        <f>IFERROR(VLOOKUP(ROWS($Q$3:Q478),$M$3:$N$992,2,0),"")</f>
        <v>Výroba dutého skla</v>
      </c>
      <c r="R478">
        <f>IF(ISNUMBER(SEARCH('1Př1'!$A$32,N478)),MAX($M$2:M477)+1,0)</f>
        <v>476</v>
      </c>
      <c r="S478" s="306" t="s">
        <v>2414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306" t="s">
        <v>2414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306" t="s">
        <v>2414</v>
      </c>
      <c r="Z478" t="str">
        <f>IFERROR(VLOOKUP(ROWS($Z$3:Z478),$X$3:$Y$992,2,0),"")</f>
        <v>Výroba dutého skla</v>
      </c>
    </row>
    <row r="479" spans="13:26">
      <c r="M479" s="305">
        <f>IF(ISNUMBER(SEARCH(ZAKL_DATA!$B$29,N479)),MAX($M$2:M478)+1,0)</f>
        <v>477</v>
      </c>
      <c r="N479" s="306" t="s">
        <v>2416</v>
      </c>
      <c r="O479" s="323" t="s">
        <v>2417</v>
      </c>
      <c r="P479" s="308"/>
      <c r="Q479" s="309" t="str">
        <f>IFERROR(VLOOKUP(ROWS($Q$3:Q479),$M$3:$N$992,2,0),"")</f>
        <v>Výroba skleněných vláken</v>
      </c>
      <c r="R479">
        <f>IF(ISNUMBER(SEARCH('1Př1'!$A$32,N479)),MAX($M$2:M478)+1,0)</f>
        <v>477</v>
      </c>
      <c r="S479" s="306" t="s">
        <v>2416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306" t="s">
        <v>2416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306" t="s">
        <v>2416</v>
      </c>
      <c r="Z479" t="str">
        <f>IFERROR(VLOOKUP(ROWS($Z$3:Z479),$X$3:$Y$992,2,0),"")</f>
        <v>Výroba skleněných vláken</v>
      </c>
    </row>
    <row r="480" spans="13:26">
      <c r="M480" s="305">
        <f>IF(ISNUMBER(SEARCH(ZAKL_DATA!$B$29,N480)),MAX($M$2:M479)+1,0)</f>
        <v>478</v>
      </c>
      <c r="N480" s="306" t="s">
        <v>2418</v>
      </c>
      <c r="O480" s="323" t="s">
        <v>2419</v>
      </c>
      <c r="P480" s="308"/>
      <c r="Q480" s="309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306" t="s">
        <v>2418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306" t="s">
        <v>2418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306" t="s">
        <v>2418</v>
      </c>
      <c r="Z480" t="str">
        <f>IFERROR(VLOOKUP(ROWS($Z$3:Z480),$X$3:$Y$992,2,0),"")</f>
        <v>Výroba a zpracování ostatního skla vč. technického</v>
      </c>
    </row>
    <row r="481" spans="13:26">
      <c r="M481" s="305">
        <f>IF(ISNUMBER(SEARCH(ZAKL_DATA!$B$29,N481)),MAX($M$2:M480)+1,0)</f>
        <v>479</v>
      </c>
      <c r="N481" s="306" t="s">
        <v>2420</v>
      </c>
      <c r="O481" s="323" t="s">
        <v>2421</v>
      </c>
      <c r="P481" s="308"/>
      <c r="Q481" s="309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306" t="s">
        <v>2420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306" t="s">
        <v>2420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306" t="s">
        <v>2420</v>
      </c>
      <c r="Z481" t="str">
        <f>IFERROR(VLOOKUP(ROWS($Z$3:Z481),$X$3:$Y$992,2,0),"")</f>
        <v>Výroba keramických obkládaček a dlaždic</v>
      </c>
    </row>
    <row r="482" spans="13:26">
      <c r="M482" s="305">
        <f>IF(ISNUMBER(SEARCH(ZAKL_DATA!$B$29,N482)),MAX($M$2:M481)+1,0)</f>
        <v>480</v>
      </c>
      <c r="N482" s="306" t="s">
        <v>2422</v>
      </c>
      <c r="O482" s="323" t="s">
        <v>2423</v>
      </c>
      <c r="P482" s="308"/>
      <c r="Q482" s="309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306" t="s">
        <v>2422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306" t="s">
        <v>2422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306" t="s">
        <v>2422</v>
      </c>
      <c r="Z482" t="str">
        <f>IFERROR(VLOOKUP(ROWS($Z$3:Z482),$X$3:$Y$992,2,0),"")</f>
        <v>Výroba pálených zdicích materiálů, tašek, dlaždic a podobných výrobků</v>
      </c>
    </row>
    <row r="483" spans="13:26">
      <c r="M483" s="305">
        <f>IF(ISNUMBER(SEARCH(ZAKL_DATA!$B$29,N483)),MAX($M$2:M482)+1,0)</f>
        <v>481</v>
      </c>
      <c r="N483" s="306" t="s">
        <v>2424</v>
      </c>
      <c r="O483" s="323" t="s">
        <v>2425</v>
      </c>
      <c r="P483" s="308"/>
      <c r="Q483" s="309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306" t="s">
        <v>2424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306" t="s">
        <v>2424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306" t="s">
        <v>2424</v>
      </c>
      <c r="Z483" t="str">
        <f>IFERROR(VLOOKUP(ROWS($Z$3:Z483),$X$3:$Y$992,2,0),"")</f>
        <v>Výroba keram.a porcelán.výrobků převážně pro domácnost a ozdob.předmětů</v>
      </c>
    </row>
    <row r="484" spans="13:26">
      <c r="M484" s="305">
        <f>IF(ISNUMBER(SEARCH(ZAKL_DATA!$B$29,N484)),MAX($M$2:M483)+1,0)</f>
        <v>482</v>
      </c>
      <c r="N484" s="306" t="s">
        <v>2426</v>
      </c>
      <c r="O484" s="323" t="s">
        <v>2427</v>
      </c>
      <c r="P484" s="308"/>
      <c r="Q484" s="309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306" t="s">
        <v>2426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306" t="s">
        <v>2426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306" t="s">
        <v>2426</v>
      </c>
      <c r="Z484" t="str">
        <f>IFERROR(VLOOKUP(ROWS($Z$3:Z484),$X$3:$Y$992,2,0),"")</f>
        <v>Výroba keramických sanitárních výrobků</v>
      </c>
    </row>
    <row r="485" spans="13:26">
      <c r="M485" s="305">
        <f>IF(ISNUMBER(SEARCH(ZAKL_DATA!$B$29,N485)),MAX($M$2:M484)+1,0)</f>
        <v>483</v>
      </c>
      <c r="N485" s="306" t="s">
        <v>2428</v>
      </c>
      <c r="O485" s="323" t="s">
        <v>2429</v>
      </c>
      <c r="P485" s="308"/>
      <c r="Q485" s="309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306" t="s">
        <v>2428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306" t="s">
        <v>2428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306" t="s">
        <v>2428</v>
      </c>
      <c r="Z485" t="str">
        <f>IFERROR(VLOOKUP(ROWS($Z$3:Z485),$X$3:$Y$992,2,0),"")</f>
        <v>Výroba keramických izolátorů a izolačního příslušenství</v>
      </c>
    </row>
    <row r="486" spans="13:26">
      <c r="M486" s="305">
        <f>IF(ISNUMBER(SEARCH(ZAKL_DATA!$B$29,N486)),MAX($M$2:M485)+1,0)</f>
        <v>484</v>
      </c>
      <c r="N486" s="306" t="s">
        <v>2430</v>
      </c>
      <c r="O486" s="323" t="s">
        <v>2431</v>
      </c>
      <c r="P486" s="308"/>
      <c r="Q486" s="309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306" t="s">
        <v>2430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306" t="s">
        <v>2430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306" t="s">
        <v>2430</v>
      </c>
      <c r="Z486" t="str">
        <f>IFERROR(VLOOKUP(ROWS($Z$3:Z486),$X$3:$Y$992,2,0),"")</f>
        <v>Výroba ostatních technických keramických výrobků</v>
      </c>
    </row>
    <row r="487" spans="13:26">
      <c r="M487" s="305">
        <f>IF(ISNUMBER(SEARCH(ZAKL_DATA!$B$29,N487)),MAX($M$2:M486)+1,0)</f>
        <v>485</v>
      </c>
      <c r="N487" s="306" t="s">
        <v>2432</v>
      </c>
      <c r="O487" s="323" t="s">
        <v>2433</v>
      </c>
      <c r="P487" s="308"/>
      <c r="Q487" s="309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306" t="s">
        <v>2432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306" t="s">
        <v>2432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306" t="s">
        <v>2432</v>
      </c>
      <c r="Z487" t="str">
        <f>IFERROR(VLOOKUP(ROWS($Z$3:Z487),$X$3:$Y$992,2,0),"")</f>
        <v>Výroba ostatních keramických výrobků</v>
      </c>
    </row>
    <row r="488" spans="13:26">
      <c r="M488" s="305">
        <f>IF(ISNUMBER(SEARCH(ZAKL_DATA!$B$29,N488)),MAX($M$2:M487)+1,0)</f>
        <v>486</v>
      </c>
      <c r="N488" s="306" t="s">
        <v>2434</v>
      </c>
      <c r="O488" s="323" t="s">
        <v>2435</v>
      </c>
      <c r="P488" s="308"/>
      <c r="Q488" s="309" t="str">
        <f>IFERROR(VLOOKUP(ROWS($Q$3:Q488),$M$3:$N$992,2,0),"")</f>
        <v>Výroba cementu</v>
      </c>
      <c r="R488">
        <f>IF(ISNUMBER(SEARCH('1Př1'!$A$32,N488)),MAX($M$2:M487)+1,0)</f>
        <v>486</v>
      </c>
      <c r="S488" s="306" t="s">
        <v>2434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306" t="s">
        <v>2434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306" t="s">
        <v>2434</v>
      </c>
      <c r="Z488" t="str">
        <f>IFERROR(VLOOKUP(ROWS($Z$3:Z488),$X$3:$Y$992,2,0),"")</f>
        <v>Výroba cementu</v>
      </c>
    </row>
    <row r="489" spans="13:26">
      <c r="M489" s="305">
        <f>IF(ISNUMBER(SEARCH(ZAKL_DATA!$B$29,N489)),MAX($M$2:M488)+1,0)</f>
        <v>487</v>
      </c>
      <c r="N489" s="306" t="s">
        <v>2436</v>
      </c>
      <c r="O489" s="323" t="s">
        <v>2437</v>
      </c>
      <c r="P489" s="308"/>
      <c r="Q489" s="309" t="str">
        <f>IFERROR(VLOOKUP(ROWS($Q$3:Q489),$M$3:$N$992,2,0),"")</f>
        <v>Výroba vápna a sádry</v>
      </c>
      <c r="R489">
        <f>IF(ISNUMBER(SEARCH('1Př1'!$A$32,N489)),MAX($M$2:M488)+1,0)</f>
        <v>487</v>
      </c>
      <c r="S489" s="306" t="s">
        <v>2436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306" t="s">
        <v>2436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306" t="s">
        <v>2436</v>
      </c>
      <c r="Z489" t="str">
        <f>IFERROR(VLOOKUP(ROWS($Z$3:Z489),$X$3:$Y$992,2,0),"")</f>
        <v>Výroba vápna a sádry</v>
      </c>
    </row>
    <row r="490" spans="13:26">
      <c r="M490" s="305">
        <f>IF(ISNUMBER(SEARCH(ZAKL_DATA!$B$29,N490)),MAX($M$2:M489)+1,0)</f>
        <v>488</v>
      </c>
      <c r="N490" s="306" t="s">
        <v>2438</v>
      </c>
      <c r="O490" s="323" t="s">
        <v>2439</v>
      </c>
      <c r="P490" s="308"/>
      <c r="Q490" s="309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306" t="s">
        <v>2438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306" t="s">
        <v>2438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306" t="s">
        <v>2438</v>
      </c>
      <c r="Z490" t="str">
        <f>IFERROR(VLOOKUP(ROWS($Z$3:Z490),$X$3:$Y$992,2,0),"")</f>
        <v>Výroba betonových výrobků pro stavební účely</v>
      </c>
    </row>
    <row r="491" spans="13:26">
      <c r="M491" s="305">
        <f>IF(ISNUMBER(SEARCH(ZAKL_DATA!$B$29,N491)),MAX($M$2:M490)+1,0)</f>
        <v>489</v>
      </c>
      <c r="N491" s="306" t="s">
        <v>2440</v>
      </c>
      <c r="O491" s="323" t="s">
        <v>2441</v>
      </c>
      <c r="P491" s="308"/>
      <c r="Q491" s="309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306" t="s">
        <v>2440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306" t="s">
        <v>2440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306" t="s">
        <v>2440</v>
      </c>
      <c r="Z491" t="str">
        <f>IFERROR(VLOOKUP(ROWS($Z$3:Z491),$X$3:$Y$992,2,0),"")</f>
        <v>Výroba sádrových výrobků pro stavební účely</v>
      </c>
    </row>
    <row r="492" spans="13:26">
      <c r="M492" s="305">
        <f>IF(ISNUMBER(SEARCH(ZAKL_DATA!$B$29,N492)),MAX($M$2:M491)+1,0)</f>
        <v>490</v>
      </c>
      <c r="N492" s="306" t="s">
        <v>2442</v>
      </c>
      <c r="O492" s="323" t="s">
        <v>2443</v>
      </c>
      <c r="P492" s="308"/>
      <c r="Q492" s="309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306" t="s">
        <v>2442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306" t="s">
        <v>2442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306" t="s">
        <v>2442</v>
      </c>
      <c r="Z492" t="str">
        <f>IFERROR(VLOOKUP(ROWS($Z$3:Z492),$X$3:$Y$992,2,0),"")</f>
        <v>Výroba betonu připraveného k lití</v>
      </c>
    </row>
    <row r="493" spans="13:26">
      <c r="M493" s="305">
        <f>IF(ISNUMBER(SEARCH(ZAKL_DATA!$B$29,N493)),MAX($M$2:M492)+1,0)</f>
        <v>491</v>
      </c>
      <c r="N493" s="306" t="s">
        <v>2444</v>
      </c>
      <c r="O493" s="323" t="s">
        <v>2445</v>
      </c>
      <c r="P493" s="308"/>
      <c r="Q493" s="309" t="str">
        <f>IFERROR(VLOOKUP(ROWS($Q$3:Q493),$M$3:$N$992,2,0),"")</f>
        <v>Výroba malt</v>
      </c>
      <c r="R493">
        <f>IF(ISNUMBER(SEARCH('1Př1'!$A$32,N493)),MAX($M$2:M492)+1,0)</f>
        <v>491</v>
      </c>
      <c r="S493" s="306" t="s">
        <v>2444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306" t="s">
        <v>2444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306" t="s">
        <v>2444</v>
      </c>
      <c r="Z493" t="str">
        <f>IFERROR(VLOOKUP(ROWS($Z$3:Z493),$X$3:$Y$992,2,0),"")</f>
        <v>Výroba malt</v>
      </c>
    </row>
    <row r="494" spans="13:26">
      <c r="M494" s="305">
        <f>IF(ISNUMBER(SEARCH(ZAKL_DATA!$B$29,N494)),MAX($M$2:M493)+1,0)</f>
        <v>492</v>
      </c>
      <c r="N494" s="306" t="s">
        <v>2446</v>
      </c>
      <c r="O494" s="323" t="s">
        <v>2447</v>
      </c>
      <c r="P494" s="308"/>
      <c r="Q494" s="309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306" t="s">
        <v>2446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306" t="s">
        <v>2446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306" t="s">
        <v>2446</v>
      </c>
      <c r="Z494" t="str">
        <f>IFERROR(VLOOKUP(ROWS($Z$3:Z494),$X$3:$Y$992,2,0),"")</f>
        <v>Výroba vláknitých cementů</v>
      </c>
    </row>
    <row r="495" spans="13:26">
      <c r="M495" s="305">
        <f>IF(ISNUMBER(SEARCH(ZAKL_DATA!$B$29,N495)),MAX($M$2:M494)+1,0)</f>
        <v>493</v>
      </c>
      <c r="N495" s="306" t="s">
        <v>2448</v>
      </c>
      <c r="O495" s="323" t="s">
        <v>2449</v>
      </c>
      <c r="P495" s="308"/>
      <c r="Q495" s="309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306" t="s">
        <v>2448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306" t="s">
        <v>2448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306" t="s">
        <v>2448</v>
      </c>
      <c r="Z495" t="str">
        <f>IFERROR(VLOOKUP(ROWS($Z$3:Z495),$X$3:$Y$992,2,0),"")</f>
        <v>Výroba ostatních betonových, cementových a sádrových výrobků</v>
      </c>
    </row>
    <row r="496" spans="13:26">
      <c r="M496" s="305">
        <f>IF(ISNUMBER(SEARCH(ZAKL_DATA!$B$29,N496)),MAX($M$2:M495)+1,0)</f>
        <v>494</v>
      </c>
      <c r="N496" s="306" t="s">
        <v>2450</v>
      </c>
      <c r="O496" s="323" t="s">
        <v>2451</v>
      </c>
      <c r="P496" s="308"/>
      <c r="Q496" s="309" t="str">
        <f>IFERROR(VLOOKUP(ROWS($Q$3:Q496),$M$3:$N$992,2,0),"")</f>
        <v>Výroba brusiv</v>
      </c>
      <c r="R496">
        <f>IF(ISNUMBER(SEARCH('1Př1'!$A$32,N496)),MAX($M$2:M495)+1,0)</f>
        <v>494</v>
      </c>
      <c r="S496" s="306" t="s">
        <v>2450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306" t="s">
        <v>2450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306" t="s">
        <v>2450</v>
      </c>
      <c r="Z496" t="str">
        <f>IFERROR(VLOOKUP(ROWS($Z$3:Z496),$X$3:$Y$992,2,0),"")</f>
        <v>Výroba brusiv</v>
      </c>
    </row>
    <row r="497" spans="13:26">
      <c r="M497" s="305">
        <f>IF(ISNUMBER(SEARCH(ZAKL_DATA!$B$29,N497)),MAX($M$2:M496)+1,0)</f>
        <v>495</v>
      </c>
      <c r="N497" s="306" t="s">
        <v>2452</v>
      </c>
      <c r="O497" s="323" t="s">
        <v>2453</v>
      </c>
      <c r="P497" s="308"/>
      <c r="Q497" s="309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306" t="s">
        <v>2452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306" t="s">
        <v>2452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306" t="s">
        <v>2452</v>
      </c>
      <c r="Z497" t="str">
        <f>IFERROR(VLOOKUP(ROWS($Z$3:Z497),$X$3:$Y$992,2,0),"")</f>
        <v>Výroba ostatních nekovových minerálních výrobků j.n.</v>
      </c>
    </row>
    <row r="498" spans="13:26">
      <c r="M498" s="305">
        <f>IF(ISNUMBER(SEARCH(ZAKL_DATA!$B$29,N498)),MAX($M$2:M497)+1,0)</f>
        <v>496</v>
      </c>
      <c r="N498" s="306" t="s">
        <v>2454</v>
      </c>
      <c r="O498" s="323" t="s">
        <v>2455</v>
      </c>
      <c r="P498" s="308"/>
      <c r="Q498" s="309" t="str">
        <f>IFERROR(VLOOKUP(ROWS($Q$3:Q498),$M$3:$N$992,2,0),"")</f>
        <v>Tažení tyčí za studena</v>
      </c>
      <c r="R498">
        <f>IF(ISNUMBER(SEARCH('1Př1'!$A$32,N498)),MAX($M$2:M497)+1,0)</f>
        <v>496</v>
      </c>
      <c r="S498" s="306" t="s">
        <v>2454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306" t="s">
        <v>2454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306" t="s">
        <v>2454</v>
      </c>
      <c r="Z498" t="str">
        <f>IFERROR(VLOOKUP(ROWS($Z$3:Z498),$X$3:$Y$992,2,0),"")</f>
        <v>Tažení tyčí za studena</v>
      </c>
    </row>
    <row r="499" spans="13:26">
      <c r="M499" s="305">
        <f>IF(ISNUMBER(SEARCH(ZAKL_DATA!$B$29,N499)),MAX($M$2:M498)+1,0)</f>
        <v>497</v>
      </c>
      <c r="N499" s="306" t="s">
        <v>2456</v>
      </c>
      <c r="O499" s="323" t="s">
        <v>2457</v>
      </c>
      <c r="P499" s="308"/>
      <c r="Q499" s="309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306" t="s">
        <v>2456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306" t="s">
        <v>2456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306" t="s">
        <v>2456</v>
      </c>
      <c r="Z499" t="str">
        <f>IFERROR(VLOOKUP(ROWS($Z$3:Z499),$X$3:$Y$992,2,0),"")</f>
        <v>Válcování ocelových úzkých pásů za studena</v>
      </c>
    </row>
    <row r="500" spans="13:26">
      <c r="M500" s="305">
        <f>IF(ISNUMBER(SEARCH(ZAKL_DATA!$B$29,N500)),MAX($M$2:M499)+1,0)</f>
        <v>498</v>
      </c>
      <c r="N500" s="306" t="s">
        <v>2458</v>
      </c>
      <c r="O500" s="323" t="s">
        <v>2459</v>
      </c>
      <c r="P500" s="308"/>
      <c r="Q500" s="309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306" t="s">
        <v>2458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306" t="s">
        <v>2458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306" t="s">
        <v>2458</v>
      </c>
      <c r="Z500" t="str">
        <f>IFERROR(VLOOKUP(ROWS($Z$3:Z500),$X$3:$Y$992,2,0),"")</f>
        <v>Tváření ocelových profilů za studena</v>
      </c>
    </row>
    <row r="501" spans="13:26">
      <c r="M501" s="305">
        <f>IF(ISNUMBER(SEARCH(ZAKL_DATA!$B$29,N501)),MAX($M$2:M500)+1,0)</f>
        <v>499</v>
      </c>
      <c r="N501" s="306" t="s">
        <v>2460</v>
      </c>
      <c r="O501" s="323" t="s">
        <v>2461</v>
      </c>
      <c r="P501" s="308"/>
      <c r="Q501" s="309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306" t="s">
        <v>2460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306" t="s">
        <v>2460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306" t="s">
        <v>2460</v>
      </c>
      <c r="Z501" t="str">
        <f>IFERROR(VLOOKUP(ROWS($Z$3:Z501),$X$3:$Y$992,2,0),"")</f>
        <v>Tažení ocelového drátu za studena</v>
      </c>
    </row>
    <row r="502" spans="13:26">
      <c r="M502" s="305">
        <f>IF(ISNUMBER(SEARCH(ZAKL_DATA!$B$29,N502)),MAX($M$2:M501)+1,0)</f>
        <v>500</v>
      </c>
      <c r="N502" s="306" t="s">
        <v>2462</v>
      </c>
      <c r="O502" s="323" t="s">
        <v>2463</v>
      </c>
      <c r="P502" s="308"/>
      <c r="Q502" s="309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306" t="s">
        <v>2462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306" t="s">
        <v>2462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306" t="s">
        <v>2462</v>
      </c>
      <c r="Z502" t="str">
        <f>IFERROR(VLOOKUP(ROWS($Z$3:Z502),$X$3:$Y$992,2,0),"")</f>
        <v>Výroba a hutní zpracování drahých kovů</v>
      </c>
    </row>
    <row r="503" spans="13:26">
      <c r="M503" s="305">
        <f>IF(ISNUMBER(SEARCH(ZAKL_DATA!$B$29,N503)),MAX($M$2:M502)+1,0)</f>
        <v>501</v>
      </c>
      <c r="N503" s="306" t="s">
        <v>2464</v>
      </c>
      <c r="O503" s="323" t="s">
        <v>2465</v>
      </c>
      <c r="P503" s="308"/>
      <c r="Q503" s="309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306" t="s">
        <v>2464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306" t="s">
        <v>2464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306" t="s">
        <v>2464</v>
      </c>
      <c r="Z503" t="str">
        <f>IFERROR(VLOOKUP(ROWS($Z$3:Z503),$X$3:$Y$992,2,0),"")</f>
        <v>Výroba a hutní zpracování hliníku</v>
      </c>
    </row>
    <row r="504" spans="13:26">
      <c r="M504" s="305">
        <f>IF(ISNUMBER(SEARCH(ZAKL_DATA!$B$29,N504)),MAX($M$2:M503)+1,0)</f>
        <v>502</v>
      </c>
      <c r="N504" s="306" t="s">
        <v>2466</v>
      </c>
      <c r="O504" s="323" t="s">
        <v>2467</v>
      </c>
      <c r="P504" s="308"/>
      <c r="Q504" s="309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306" t="s">
        <v>2466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306" t="s">
        <v>2466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306" t="s">
        <v>2466</v>
      </c>
      <c r="Z504" t="str">
        <f>IFERROR(VLOOKUP(ROWS($Z$3:Z504),$X$3:$Y$992,2,0),"")</f>
        <v>Výroba a hutní zpracování olova, zinku a cínu</v>
      </c>
    </row>
    <row r="505" spans="13:26">
      <c r="M505" s="305">
        <f>IF(ISNUMBER(SEARCH(ZAKL_DATA!$B$29,N505)),MAX($M$2:M504)+1,0)</f>
        <v>503</v>
      </c>
      <c r="N505" s="306" t="s">
        <v>2468</v>
      </c>
      <c r="O505" s="323" t="s">
        <v>2469</v>
      </c>
      <c r="P505" s="308"/>
      <c r="Q505" s="309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306" t="s">
        <v>2468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306" t="s">
        <v>2468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306" t="s">
        <v>2468</v>
      </c>
      <c r="Z505" t="str">
        <f>IFERROR(VLOOKUP(ROWS($Z$3:Z505),$X$3:$Y$992,2,0),"")</f>
        <v>Výroba a hutní zpracování mědi</v>
      </c>
    </row>
    <row r="506" spans="13:26">
      <c r="M506" s="305">
        <f>IF(ISNUMBER(SEARCH(ZAKL_DATA!$B$29,N506)),MAX($M$2:M505)+1,0)</f>
        <v>504</v>
      </c>
      <c r="N506" s="306" t="s">
        <v>2470</v>
      </c>
      <c r="O506" s="323" t="s">
        <v>2471</v>
      </c>
      <c r="P506" s="308"/>
      <c r="Q506" s="309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306" t="s">
        <v>2470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306" t="s">
        <v>2470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306" t="s">
        <v>2470</v>
      </c>
      <c r="Z506" t="str">
        <f>IFERROR(VLOOKUP(ROWS($Z$3:Z506),$X$3:$Y$992,2,0),"")</f>
        <v>Výroba a hutní zpracování ostatních neželezných kovů</v>
      </c>
    </row>
    <row r="507" spans="13:26">
      <c r="M507" s="305">
        <f>IF(ISNUMBER(SEARCH(ZAKL_DATA!$B$29,N507)),MAX($M$2:M506)+1,0)</f>
        <v>505</v>
      </c>
      <c r="N507" s="306" t="s">
        <v>2472</v>
      </c>
      <c r="O507" s="323" t="s">
        <v>2473</v>
      </c>
      <c r="P507" s="308"/>
      <c r="Q507" s="309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306" t="s">
        <v>2472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306" t="s">
        <v>2472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306" t="s">
        <v>2472</v>
      </c>
      <c r="Z507" t="str">
        <f>IFERROR(VLOOKUP(ROWS($Z$3:Z507),$X$3:$Y$992,2,0),"")</f>
        <v>Zpracování jaderného paliva</v>
      </c>
    </row>
    <row r="508" spans="13:26">
      <c r="M508" s="305">
        <f>IF(ISNUMBER(SEARCH(ZAKL_DATA!$B$29,N508)),MAX($M$2:M507)+1,0)</f>
        <v>506</v>
      </c>
      <c r="N508" s="306" t="s">
        <v>2474</v>
      </c>
      <c r="O508" s="323" t="s">
        <v>2475</v>
      </c>
      <c r="P508" s="308"/>
      <c r="Q508" s="309" t="str">
        <f>IFERROR(VLOOKUP(ROWS($Q$3:Q508),$M$3:$N$992,2,0),"")</f>
        <v>Výroba odlitků z litiny</v>
      </c>
      <c r="R508">
        <f>IF(ISNUMBER(SEARCH('1Př1'!$A$32,N508)),MAX($M$2:M507)+1,0)</f>
        <v>506</v>
      </c>
      <c r="S508" s="306" t="s">
        <v>2474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306" t="s">
        <v>2474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306" t="s">
        <v>2474</v>
      </c>
      <c r="Z508" t="str">
        <f>IFERROR(VLOOKUP(ROWS($Z$3:Z508),$X$3:$Y$992,2,0),"")</f>
        <v>Výroba odlitků z litiny</v>
      </c>
    </row>
    <row r="509" spans="13:26">
      <c r="M509" s="305">
        <f>IF(ISNUMBER(SEARCH(ZAKL_DATA!$B$29,N509)),MAX($M$2:M508)+1,0)</f>
        <v>507</v>
      </c>
      <c r="N509" s="306" t="s">
        <v>2476</v>
      </c>
      <c r="O509" s="323" t="s">
        <v>2477</v>
      </c>
      <c r="P509" s="308"/>
      <c r="Q509" s="309" t="str">
        <f>IFERROR(VLOOKUP(ROWS($Q$3:Q509),$M$3:$N$992,2,0),"")</f>
        <v>Výroba odlitků z oceli</v>
      </c>
      <c r="R509">
        <f>IF(ISNUMBER(SEARCH('1Př1'!$A$32,N509)),MAX($M$2:M508)+1,0)</f>
        <v>507</v>
      </c>
      <c r="S509" s="306" t="s">
        <v>2476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306" t="s">
        <v>2476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306" t="s">
        <v>2476</v>
      </c>
      <c r="Z509" t="str">
        <f>IFERROR(VLOOKUP(ROWS($Z$3:Z509),$X$3:$Y$992,2,0),"")</f>
        <v>Výroba odlitků z oceli</v>
      </c>
    </row>
    <row r="510" spans="13:26">
      <c r="M510" s="305">
        <f>IF(ISNUMBER(SEARCH(ZAKL_DATA!$B$29,N510)),MAX($M$2:M509)+1,0)</f>
        <v>508</v>
      </c>
      <c r="N510" s="306" t="s">
        <v>2478</v>
      </c>
      <c r="O510" s="323" t="s">
        <v>2479</v>
      </c>
      <c r="P510" s="308"/>
      <c r="Q510" s="309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306" t="s">
        <v>2478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306" t="s">
        <v>2478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306" t="s">
        <v>2478</v>
      </c>
      <c r="Z510" t="str">
        <f>IFERROR(VLOOKUP(ROWS($Z$3:Z510),$X$3:$Y$992,2,0),"")</f>
        <v>Výroba odlitků z lehkých neželezných kovů</v>
      </c>
    </row>
    <row r="511" spans="13:26">
      <c r="M511" s="305">
        <f>IF(ISNUMBER(SEARCH(ZAKL_DATA!$B$29,N511)),MAX($M$2:M510)+1,0)</f>
        <v>509</v>
      </c>
      <c r="N511" s="306" t="s">
        <v>2480</v>
      </c>
      <c r="O511" s="323" t="s">
        <v>2481</v>
      </c>
      <c r="P511" s="308"/>
      <c r="Q511" s="309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306" t="s">
        <v>2480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306" t="s">
        <v>2480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306" t="s">
        <v>2480</v>
      </c>
      <c r="Z511" t="str">
        <f>IFERROR(VLOOKUP(ROWS($Z$3:Z511),$X$3:$Y$992,2,0),"")</f>
        <v>Výroba odlitků z ostatních neželezných kovů</v>
      </c>
    </row>
    <row r="512" spans="13:26">
      <c r="M512" s="305">
        <f>IF(ISNUMBER(SEARCH(ZAKL_DATA!$B$29,N512)),MAX($M$2:M511)+1,0)</f>
        <v>510</v>
      </c>
      <c r="N512" s="306" t="s">
        <v>2482</v>
      </c>
      <c r="O512" s="323" t="s">
        <v>2483</v>
      </c>
      <c r="P512" s="308"/>
      <c r="Q512" s="309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306" t="s">
        <v>2482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306" t="s">
        <v>2482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306" t="s">
        <v>2482</v>
      </c>
      <c r="Z512" t="str">
        <f>IFERROR(VLOOKUP(ROWS($Z$3:Z512),$X$3:$Y$992,2,0),"")</f>
        <v>Výroba kovových konstrukcí a jejich dílů</v>
      </c>
    </row>
    <row r="513" spans="13:26">
      <c r="M513" s="305">
        <f>IF(ISNUMBER(SEARCH(ZAKL_DATA!$B$29,N513)),MAX($M$2:M512)+1,0)</f>
        <v>511</v>
      </c>
      <c r="N513" s="306" t="s">
        <v>2484</v>
      </c>
      <c r="O513" s="323" t="s">
        <v>2485</v>
      </c>
      <c r="P513" s="308"/>
      <c r="Q513" s="309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306" t="s">
        <v>2484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306" t="s">
        <v>2484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306" t="s">
        <v>2484</v>
      </c>
      <c r="Z513" t="str">
        <f>IFERROR(VLOOKUP(ROWS($Z$3:Z513),$X$3:$Y$992,2,0),"")</f>
        <v>Výroba kovových dveří a oken</v>
      </c>
    </row>
    <row r="514" spans="13:26">
      <c r="M514" s="305">
        <f>IF(ISNUMBER(SEARCH(ZAKL_DATA!$B$29,N514)),MAX($M$2:M513)+1,0)</f>
        <v>512</v>
      </c>
      <c r="N514" s="306" t="s">
        <v>2486</v>
      </c>
      <c r="O514" s="323" t="s">
        <v>2487</v>
      </c>
      <c r="P514" s="308"/>
      <c r="Q514" s="309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306" t="s">
        <v>2486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306" t="s">
        <v>2486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306" t="s">
        <v>2486</v>
      </c>
      <c r="Z514" t="str">
        <f>IFERROR(VLOOKUP(ROWS($Z$3:Z514),$X$3:$Y$992,2,0),"")</f>
        <v>Výroba radiátorů a kotlů k ústřednímu topení</v>
      </c>
    </row>
    <row r="515" spans="13:26">
      <c r="M515" s="305">
        <f>IF(ISNUMBER(SEARCH(ZAKL_DATA!$B$29,N515)),MAX($M$2:M514)+1,0)</f>
        <v>513</v>
      </c>
      <c r="N515" s="306" t="s">
        <v>2488</v>
      </c>
      <c r="O515" s="323" t="s">
        <v>2489</v>
      </c>
      <c r="P515" s="308"/>
      <c r="Q515" s="309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306" t="s">
        <v>2488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306" t="s">
        <v>2488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306" t="s">
        <v>2488</v>
      </c>
      <c r="Z515" t="str">
        <f>IFERROR(VLOOKUP(ROWS($Z$3:Z515),$X$3:$Y$992,2,0),"")</f>
        <v>Výroba kovových nádrží a zásobníků</v>
      </c>
    </row>
    <row r="516" spans="13:26">
      <c r="M516" s="305">
        <f>IF(ISNUMBER(SEARCH(ZAKL_DATA!$B$29,N516)),MAX($M$2:M515)+1,0)</f>
        <v>514</v>
      </c>
      <c r="N516" s="306" t="s">
        <v>2490</v>
      </c>
      <c r="O516" s="323" t="s">
        <v>2491</v>
      </c>
      <c r="P516" s="308"/>
      <c r="Q516" s="309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306" t="s">
        <v>2490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306" t="s">
        <v>2490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306" t="s">
        <v>2490</v>
      </c>
      <c r="Z516" t="str">
        <f>IFERROR(VLOOKUP(ROWS($Z$3:Z516),$X$3:$Y$992,2,0),"")</f>
        <v>Povrchová úprava a zušlechťování kovů</v>
      </c>
    </row>
    <row r="517" spans="13:26">
      <c r="M517" s="305">
        <f>IF(ISNUMBER(SEARCH(ZAKL_DATA!$B$29,N517)),MAX($M$2:M516)+1,0)</f>
        <v>515</v>
      </c>
      <c r="N517" s="306" t="s">
        <v>2492</v>
      </c>
      <c r="O517" s="323" t="s">
        <v>2493</v>
      </c>
      <c r="P517" s="308"/>
      <c r="Q517" s="309" t="str">
        <f>IFERROR(VLOOKUP(ROWS($Q$3:Q517),$M$3:$N$992,2,0),"")</f>
        <v>Obrábění</v>
      </c>
      <c r="R517">
        <f>IF(ISNUMBER(SEARCH('1Př1'!$A$32,N517)),MAX($M$2:M516)+1,0)</f>
        <v>515</v>
      </c>
      <c r="S517" s="306" t="s">
        <v>2492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306" t="s">
        <v>2492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306" t="s">
        <v>2492</v>
      </c>
      <c r="Z517" t="str">
        <f>IFERROR(VLOOKUP(ROWS($Z$3:Z517),$X$3:$Y$992,2,0),"")</f>
        <v>Obrábění</v>
      </c>
    </row>
    <row r="518" spans="13:26">
      <c r="M518" s="305">
        <f>IF(ISNUMBER(SEARCH(ZAKL_DATA!$B$29,N518)),MAX($M$2:M517)+1,0)</f>
        <v>516</v>
      </c>
      <c r="N518" s="306" t="s">
        <v>2494</v>
      </c>
      <c r="O518" s="323" t="s">
        <v>2495</v>
      </c>
      <c r="P518" s="308"/>
      <c r="Q518" s="309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306" t="s">
        <v>2494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306" t="s">
        <v>2494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306" t="s">
        <v>2494</v>
      </c>
      <c r="Z518" t="str">
        <f>IFERROR(VLOOKUP(ROWS($Z$3:Z518),$X$3:$Y$992,2,0),"")</f>
        <v>Výroba nožířských výrobků</v>
      </c>
    </row>
    <row r="519" spans="13:26">
      <c r="M519" s="305">
        <f>IF(ISNUMBER(SEARCH(ZAKL_DATA!$B$29,N519)),MAX($M$2:M518)+1,0)</f>
        <v>517</v>
      </c>
      <c r="N519" s="306" t="s">
        <v>2496</v>
      </c>
      <c r="O519" s="323" t="s">
        <v>2497</v>
      </c>
      <c r="P519" s="308"/>
      <c r="Q519" s="309" t="str">
        <f>IFERROR(VLOOKUP(ROWS($Q$3:Q519),$M$3:$N$992,2,0),"")</f>
        <v>Výroba zámků a kování</v>
      </c>
      <c r="R519">
        <f>IF(ISNUMBER(SEARCH('1Př1'!$A$32,N519)),MAX($M$2:M518)+1,0)</f>
        <v>517</v>
      </c>
      <c r="S519" s="306" t="s">
        <v>2496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306" t="s">
        <v>2496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306" t="s">
        <v>2496</v>
      </c>
      <c r="Z519" t="str">
        <f>IFERROR(VLOOKUP(ROWS($Z$3:Z519),$X$3:$Y$992,2,0),"")</f>
        <v>Výroba zámků a kování</v>
      </c>
    </row>
    <row r="520" spans="13:26">
      <c r="M520" s="305">
        <f>IF(ISNUMBER(SEARCH(ZAKL_DATA!$B$29,N520)),MAX($M$2:M519)+1,0)</f>
        <v>518</v>
      </c>
      <c r="N520" s="306" t="s">
        <v>2498</v>
      </c>
      <c r="O520" s="323" t="s">
        <v>2499</v>
      </c>
      <c r="P520" s="308"/>
      <c r="Q520" s="309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306" t="s">
        <v>2498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306" t="s">
        <v>2498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306" t="s">
        <v>2498</v>
      </c>
      <c r="Z520" t="str">
        <f>IFERROR(VLOOKUP(ROWS($Z$3:Z520),$X$3:$Y$992,2,0),"")</f>
        <v>Výroba nástrojů a nářadí</v>
      </c>
    </row>
    <row r="521" spans="13:26">
      <c r="M521" s="305">
        <f>IF(ISNUMBER(SEARCH(ZAKL_DATA!$B$29,N521)),MAX($M$2:M520)+1,0)</f>
        <v>519</v>
      </c>
      <c r="N521" s="306" t="s">
        <v>2500</v>
      </c>
      <c r="O521" s="323" t="s">
        <v>2501</v>
      </c>
      <c r="P521" s="308"/>
      <c r="Q521" s="309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306" t="s">
        <v>2500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306" t="s">
        <v>2500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306" t="s">
        <v>2500</v>
      </c>
      <c r="Z521" t="str">
        <f>IFERROR(VLOOKUP(ROWS($Z$3:Z521),$X$3:$Y$992,2,0),"")</f>
        <v>Výroba ocelových sudů a podobných nádob</v>
      </c>
    </row>
    <row r="522" spans="13:26">
      <c r="M522" s="305">
        <f>IF(ISNUMBER(SEARCH(ZAKL_DATA!$B$29,N522)),MAX($M$2:M521)+1,0)</f>
        <v>520</v>
      </c>
      <c r="N522" s="306" t="s">
        <v>2502</v>
      </c>
      <c r="O522" s="323" t="s">
        <v>2503</v>
      </c>
      <c r="P522" s="308"/>
      <c r="Q522" s="309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306" t="s">
        <v>2502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306" t="s">
        <v>2502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306" t="s">
        <v>2502</v>
      </c>
      <c r="Z522" t="str">
        <f>IFERROR(VLOOKUP(ROWS($Z$3:Z522),$X$3:$Y$992,2,0),"")</f>
        <v>Výroba drobných kovových obalů</v>
      </c>
    </row>
    <row r="523" spans="13:26">
      <c r="M523" s="305">
        <f>IF(ISNUMBER(SEARCH(ZAKL_DATA!$B$29,N523)),MAX($M$2:M522)+1,0)</f>
        <v>521</v>
      </c>
      <c r="N523" s="306" t="s">
        <v>2504</v>
      </c>
      <c r="O523" s="323" t="s">
        <v>2505</v>
      </c>
      <c r="P523" s="308"/>
      <c r="Q523" s="309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306" t="s">
        <v>2504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306" t="s">
        <v>2504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306" t="s">
        <v>2504</v>
      </c>
      <c r="Z523" t="str">
        <f>IFERROR(VLOOKUP(ROWS($Z$3:Z523),$X$3:$Y$992,2,0),"")</f>
        <v>Výroba drátěných výrobků, řetězů a pružin</v>
      </c>
    </row>
    <row r="524" spans="13:26">
      <c r="M524" s="305">
        <f>IF(ISNUMBER(SEARCH(ZAKL_DATA!$B$29,N524)),MAX($M$2:M523)+1,0)</f>
        <v>522</v>
      </c>
      <c r="N524" s="306" t="s">
        <v>2506</v>
      </c>
      <c r="O524" s="323" t="s">
        <v>2507</v>
      </c>
      <c r="P524" s="308"/>
      <c r="Q524" s="309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306" t="s">
        <v>2506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306" t="s">
        <v>2506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306" t="s">
        <v>2506</v>
      </c>
      <c r="Z524" t="str">
        <f>IFERROR(VLOOKUP(ROWS($Z$3:Z524),$X$3:$Y$992,2,0),"")</f>
        <v>Výroba spojovacích materiálů a spojovacích výrobků se závity</v>
      </c>
    </row>
    <row r="525" spans="13:26">
      <c r="M525" s="305">
        <f>IF(ISNUMBER(SEARCH(ZAKL_DATA!$B$29,N525)),MAX($M$2:M524)+1,0)</f>
        <v>523</v>
      </c>
      <c r="N525" s="306" t="s">
        <v>2508</v>
      </c>
      <c r="O525" s="323" t="s">
        <v>2509</v>
      </c>
      <c r="P525" s="308"/>
      <c r="Q525" s="309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306" t="s">
        <v>2508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306" t="s">
        <v>2508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306" t="s">
        <v>2508</v>
      </c>
      <c r="Z525" t="str">
        <f>IFERROR(VLOOKUP(ROWS($Z$3:Z525),$X$3:$Y$992,2,0),"")</f>
        <v>Výroba ostatních kovodělných výrobků j. n.</v>
      </c>
    </row>
    <row r="526" spans="13:26">
      <c r="M526" s="305">
        <f>IF(ISNUMBER(SEARCH(ZAKL_DATA!$B$29,N526)),MAX($M$2:M525)+1,0)</f>
        <v>524</v>
      </c>
      <c r="N526" s="306" t="s">
        <v>2510</v>
      </c>
      <c r="O526" s="323" t="s">
        <v>2511</v>
      </c>
      <c r="P526" s="308"/>
      <c r="Q526" s="309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306" t="s">
        <v>2510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306" t="s">
        <v>2510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306" t="s">
        <v>2510</v>
      </c>
      <c r="Z526" t="str">
        <f>IFERROR(VLOOKUP(ROWS($Z$3:Z526),$X$3:$Y$992,2,0),"")</f>
        <v>Výroba elektronických součástek</v>
      </c>
    </row>
    <row r="527" spans="13:26">
      <c r="M527" s="305">
        <f>IF(ISNUMBER(SEARCH(ZAKL_DATA!$B$29,N527)),MAX($M$2:M526)+1,0)</f>
        <v>525</v>
      </c>
      <c r="N527" s="306" t="s">
        <v>2512</v>
      </c>
      <c r="O527" s="323" t="s">
        <v>2513</v>
      </c>
      <c r="P527" s="308"/>
      <c r="Q527" s="309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306" t="s">
        <v>2512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306" t="s">
        <v>2512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306" t="s">
        <v>2512</v>
      </c>
      <c r="Z527" t="str">
        <f>IFERROR(VLOOKUP(ROWS($Z$3:Z527),$X$3:$Y$992,2,0),"")</f>
        <v>Výroba osazených elektronických desek</v>
      </c>
    </row>
    <row r="528" spans="13:26">
      <c r="M528" s="305">
        <f>IF(ISNUMBER(SEARCH(ZAKL_DATA!$B$29,N528)),MAX($M$2:M527)+1,0)</f>
        <v>526</v>
      </c>
      <c r="N528" s="306" t="s">
        <v>2514</v>
      </c>
      <c r="O528" s="323" t="s">
        <v>2515</v>
      </c>
      <c r="P528" s="308"/>
      <c r="Q528" s="309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306" t="s">
        <v>2514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306" t="s">
        <v>2514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306" t="s">
        <v>2514</v>
      </c>
      <c r="Z528" t="str">
        <f>IFERROR(VLOOKUP(ROWS($Z$3:Z528),$X$3:$Y$992,2,0),"")</f>
        <v>Výroba měřicích, zkušebních a navigačních přístrojů</v>
      </c>
    </row>
    <row r="529" spans="13:26">
      <c r="M529" s="305">
        <f>IF(ISNUMBER(SEARCH(ZAKL_DATA!$B$29,N529)),MAX($M$2:M528)+1,0)</f>
        <v>527</v>
      </c>
      <c r="N529" s="306" t="s">
        <v>2516</v>
      </c>
      <c r="O529" s="323" t="s">
        <v>2517</v>
      </c>
      <c r="P529" s="308"/>
      <c r="Q529" s="309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306" t="s">
        <v>2516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306" t="s">
        <v>2516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306" t="s">
        <v>2516</v>
      </c>
      <c r="Z529" t="str">
        <f>IFERROR(VLOOKUP(ROWS($Z$3:Z529),$X$3:$Y$992,2,0),"")</f>
        <v>Výroba časoměrných přístrojů</v>
      </c>
    </row>
    <row r="530" spans="13:26">
      <c r="M530" s="305">
        <f>IF(ISNUMBER(SEARCH(ZAKL_DATA!$B$29,N530)),MAX($M$2:M529)+1,0)</f>
        <v>528</v>
      </c>
      <c r="N530" s="306" t="s">
        <v>2518</v>
      </c>
      <c r="O530" s="323" t="s">
        <v>2519</v>
      </c>
      <c r="P530" s="308"/>
      <c r="Q530" s="309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306" t="s">
        <v>2518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306" t="s">
        <v>2518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306" t="s">
        <v>2518</v>
      </c>
      <c r="Z530" t="str">
        <f>IFERROR(VLOOKUP(ROWS($Z$3:Z530),$X$3:$Y$992,2,0),"")</f>
        <v>Výroba elektrických motorů, generátorů a transformátorů</v>
      </c>
    </row>
    <row r="531" spans="13:26">
      <c r="M531" s="305">
        <f>IF(ISNUMBER(SEARCH(ZAKL_DATA!$B$29,N531)),MAX($M$2:M530)+1,0)</f>
        <v>529</v>
      </c>
      <c r="N531" s="306" t="s">
        <v>2520</v>
      </c>
      <c r="O531" s="323" t="s">
        <v>2521</v>
      </c>
      <c r="P531" s="308"/>
      <c r="Q531" s="309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306" t="s">
        <v>2520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306" t="s">
        <v>2520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306" t="s">
        <v>2520</v>
      </c>
      <c r="Z531" t="str">
        <f>IFERROR(VLOOKUP(ROWS($Z$3:Z531),$X$3:$Y$992,2,0),"")</f>
        <v>Výroba elektrických rozvodných a kontrolních zařízení</v>
      </c>
    </row>
    <row r="532" spans="13:26">
      <c r="M532" s="305">
        <f>IF(ISNUMBER(SEARCH(ZAKL_DATA!$B$29,N532)),MAX($M$2:M531)+1,0)</f>
        <v>530</v>
      </c>
      <c r="N532" s="306" t="s">
        <v>2522</v>
      </c>
      <c r="O532" s="323" t="s">
        <v>2523</v>
      </c>
      <c r="P532" s="308"/>
      <c r="Q532" s="309" t="str">
        <f>IFERROR(VLOOKUP(ROWS($Q$3:Q532),$M$3:$N$992,2,0),"")</f>
        <v>Výroba optických kabelů</v>
      </c>
      <c r="R532">
        <f>IF(ISNUMBER(SEARCH('1Př1'!$A$32,N532)),MAX($M$2:M531)+1,0)</f>
        <v>530</v>
      </c>
      <c r="S532" s="306" t="s">
        <v>2522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306" t="s">
        <v>2522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306" t="s">
        <v>2522</v>
      </c>
      <c r="Z532" t="str">
        <f>IFERROR(VLOOKUP(ROWS($Z$3:Z532),$X$3:$Y$992,2,0),"")</f>
        <v>Výroba optických kabelů</v>
      </c>
    </row>
    <row r="533" spans="13:26">
      <c r="M533" s="305">
        <f>IF(ISNUMBER(SEARCH(ZAKL_DATA!$B$29,N533)),MAX($M$2:M532)+1,0)</f>
        <v>531</v>
      </c>
      <c r="N533" s="306" t="s">
        <v>2524</v>
      </c>
      <c r="O533" s="323" t="s">
        <v>2525</v>
      </c>
      <c r="P533" s="308"/>
      <c r="Q533" s="309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306" t="s">
        <v>2524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306" t="s">
        <v>2524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306" t="s">
        <v>2524</v>
      </c>
      <c r="Z533" t="str">
        <f>IFERROR(VLOOKUP(ROWS($Z$3:Z533),$X$3:$Y$992,2,0),"")</f>
        <v>Výroba elektrických vodičů a kabelů j. n.</v>
      </c>
    </row>
    <row r="534" spans="13:26">
      <c r="M534" s="305">
        <f>IF(ISNUMBER(SEARCH(ZAKL_DATA!$B$29,N534)),MAX($M$2:M533)+1,0)</f>
        <v>532</v>
      </c>
      <c r="N534" s="306" t="s">
        <v>2526</v>
      </c>
      <c r="O534" s="323" t="s">
        <v>2527</v>
      </c>
      <c r="P534" s="308"/>
      <c r="Q534" s="309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306" t="s">
        <v>2526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306" t="s">
        <v>2526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306" t="s">
        <v>2526</v>
      </c>
      <c r="Z534" t="str">
        <f>IFERROR(VLOOKUP(ROWS($Z$3:Z534),$X$3:$Y$992,2,0),"")</f>
        <v>Výroba elektroinstalačních zařízení</v>
      </c>
    </row>
    <row r="535" spans="13:26">
      <c r="M535" s="305">
        <f>IF(ISNUMBER(SEARCH(ZAKL_DATA!$B$29,N535)),MAX($M$2:M534)+1,0)</f>
        <v>533</v>
      </c>
      <c r="N535" s="306" t="s">
        <v>2528</v>
      </c>
      <c r="O535" s="323" t="s">
        <v>2529</v>
      </c>
      <c r="P535" s="308"/>
      <c r="Q535" s="309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306" t="s">
        <v>2528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306" t="s">
        <v>2528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306" t="s">
        <v>2528</v>
      </c>
      <c r="Z535" t="str">
        <f>IFERROR(VLOOKUP(ROWS($Z$3:Z535),$X$3:$Y$992,2,0),"")</f>
        <v>Výroba elektrických spotřebičů převážně pro domácnost</v>
      </c>
    </row>
    <row r="536" spans="13:26">
      <c r="M536" s="305">
        <f>IF(ISNUMBER(SEARCH(ZAKL_DATA!$B$29,N536)),MAX($M$2:M535)+1,0)</f>
        <v>534</v>
      </c>
      <c r="N536" s="306" t="s">
        <v>2530</v>
      </c>
      <c r="O536" s="323" t="s">
        <v>2531</v>
      </c>
      <c r="P536" s="308"/>
      <c r="Q536" s="309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306" t="s">
        <v>2530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306" t="s">
        <v>2530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306" t="s">
        <v>2530</v>
      </c>
      <c r="Z536" t="str">
        <f>IFERROR(VLOOKUP(ROWS($Z$3:Z536),$X$3:$Y$992,2,0),"")</f>
        <v>Výroba neelektrických spotřebičů převážně pro domácnost</v>
      </c>
    </row>
    <row r="537" spans="13:26">
      <c r="M537" s="305">
        <f>IF(ISNUMBER(SEARCH(ZAKL_DATA!$B$29,N537)),MAX($M$2:M536)+1,0)</f>
        <v>535</v>
      </c>
      <c r="N537" s="306" t="s">
        <v>2532</v>
      </c>
      <c r="O537" s="323" t="s">
        <v>2533</v>
      </c>
      <c r="P537" s="308"/>
      <c r="Q537" s="309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306" t="s">
        <v>2532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306" t="s">
        <v>2532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306" t="s">
        <v>2532</v>
      </c>
      <c r="Z537" t="str">
        <f>IFERROR(VLOOKUP(ROWS($Z$3:Z537),$X$3:$Y$992,2,0),"")</f>
        <v>Výroba motorů a turbín, kromě motorů pro letadla, automobily a motocykly</v>
      </c>
    </row>
    <row r="538" spans="13:26">
      <c r="M538" s="305">
        <f>IF(ISNUMBER(SEARCH(ZAKL_DATA!$B$29,N538)),MAX($M$2:M537)+1,0)</f>
        <v>536</v>
      </c>
      <c r="N538" s="306" t="s">
        <v>2534</v>
      </c>
      <c r="O538" s="323" t="s">
        <v>2535</v>
      </c>
      <c r="P538" s="308"/>
      <c r="Q538" s="309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306" t="s">
        <v>2534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306" t="s">
        <v>2534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306" t="s">
        <v>2534</v>
      </c>
      <c r="Z538" t="str">
        <f>IFERROR(VLOOKUP(ROWS($Z$3:Z538),$X$3:$Y$992,2,0),"")</f>
        <v>Výroba hydraulických a pneumatických zařízení</v>
      </c>
    </row>
    <row r="539" spans="13:26">
      <c r="M539" s="305">
        <f>IF(ISNUMBER(SEARCH(ZAKL_DATA!$B$29,N539)),MAX($M$2:M538)+1,0)</f>
        <v>537</v>
      </c>
      <c r="N539" s="306" t="s">
        <v>2536</v>
      </c>
      <c r="O539" s="323" t="s">
        <v>2537</v>
      </c>
      <c r="P539" s="308"/>
      <c r="Q539" s="309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306" t="s">
        <v>2536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306" t="s">
        <v>2536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306" t="s">
        <v>2536</v>
      </c>
      <c r="Z539" t="str">
        <f>IFERROR(VLOOKUP(ROWS($Z$3:Z539),$X$3:$Y$992,2,0),"")</f>
        <v>Výroba ostatních čerpadel a kompresorů</v>
      </c>
    </row>
    <row r="540" spans="13:26">
      <c r="M540" s="305">
        <f>IF(ISNUMBER(SEARCH(ZAKL_DATA!$B$29,N540)),MAX($M$2:M539)+1,0)</f>
        <v>538</v>
      </c>
      <c r="N540" s="306" t="s">
        <v>2538</v>
      </c>
      <c r="O540" s="323" t="s">
        <v>2539</v>
      </c>
      <c r="P540" s="308"/>
      <c r="Q540" s="309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306" t="s">
        <v>2538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306" t="s">
        <v>2538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306" t="s">
        <v>2538</v>
      </c>
      <c r="Z540" t="str">
        <f>IFERROR(VLOOKUP(ROWS($Z$3:Z540),$X$3:$Y$992,2,0),"")</f>
        <v>Výroba ostatních potrubních armatur</v>
      </c>
    </row>
    <row r="541" spans="13:26">
      <c r="M541" s="305">
        <f>IF(ISNUMBER(SEARCH(ZAKL_DATA!$B$29,N541)),MAX($M$2:M540)+1,0)</f>
        <v>539</v>
      </c>
      <c r="N541" s="306" t="s">
        <v>2540</v>
      </c>
      <c r="O541" s="323" t="s">
        <v>2541</v>
      </c>
      <c r="P541" s="308"/>
      <c r="Q541" s="309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306" t="s">
        <v>2540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306" t="s">
        <v>2540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306" t="s">
        <v>2540</v>
      </c>
      <c r="Z541" t="str">
        <f>IFERROR(VLOOKUP(ROWS($Z$3:Z541),$X$3:$Y$992,2,0),"")</f>
        <v>Výroba ložisek, ozubených kol, převodů a hnacích prvků</v>
      </c>
    </row>
    <row r="542" spans="13:26">
      <c r="M542" s="305">
        <f>IF(ISNUMBER(SEARCH(ZAKL_DATA!$B$29,N542)),MAX($M$2:M541)+1,0)</f>
        <v>540</v>
      </c>
      <c r="N542" s="306" t="s">
        <v>2542</v>
      </c>
      <c r="O542" s="323" t="s">
        <v>2543</v>
      </c>
      <c r="P542" s="308"/>
      <c r="Q542" s="309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306" t="s">
        <v>2542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306" t="s">
        <v>2542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306" t="s">
        <v>2542</v>
      </c>
      <c r="Z542" t="str">
        <f>IFERROR(VLOOKUP(ROWS($Z$3:Z542),$X$3:$Y$992,2,0),"")</f>
        <v>Výroba pecí a hořáků pro topeniště</v>
      </c>
    </row>
    <row r="543" spans="13:26">
      <c r="M543" s="305">
        <f>IF(ISNUMBER(SEARCH(ZAKL_DATA!$B$29,N543)),MAX($M$2:M542)+1,0)</f>
        <v>541</v>
      </c>
      <c r="N543" s="306" t="s">
        <v>2544</v>
      </c>
      <c r="O543" s="323" t="s">
        <v>2545</v>
      </c>
      <c r="P543" s="308"/>
      <c r="Q543" s="309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306" t="s">
        <v>2544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306" t="s">
        <v>2544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306" t="s">
        <v>2544</v>
      </c>
      <c r="Z543" t="str">
        <f>IFERROR(VLOOKUP(ROWS($Z$3:Z543),$X$3:$Y$992,2,0),"")</f>
        <v>Výroba zdvihacích a manipulačních zařízení</v>
      </c>
    </row>
    <row r="544" spans="13:26">
      <c r="M544" s="305">
        <f>IF(ISNUMBER(SEARCH(ZAKL_DATA!$B$29,N544)),MAX($M$2:M543)+1,0)</f>
        <v>542</v>
      </c>
      <c r="N544" s="306" t="s">
        <v>2546</v>
      </c>
      <c r="O544" s="323" t="s">
        <v>2547</v>
      </c>
      <c r="P544" s="308"/>
      <c r="Q544" s="309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306" t="s">
        <v>2546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306" t="s">
        <v>2546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306" t="s">
        <v>2546</v>
      </c>
      <c r="Z544" t="str">
        <f>IFERROR(VLOOKUP(ROWS($Z$3:Z544),$X$3:$Y$992,2,0),"")</f>
        <v>Výroba kancelářských strojů a zařízení,kromě počítačů a perif.zařízení</v>
      </c>
    </row>
    <row r="545" spans="13:26">
      <c r="M545" s="305">
        <f>IF(ISNUMBER(SEARCH(ZAKL_DATA!$B$29,N545)),MAX($M$2:M544)+1,0)</f>
        <v>543</v>
      </c>
      <c r="N545" s="306" t="s">
        <v>2548</v>
      </c>
      <c r="O545" s="323" t="s">
        <v>2549</v>
      </c>
      <c r="P545" s="308"/>
      <c r="Q545" s="309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306" t="s">
        <v>2548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306" t="s">
        <v>2548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306" t="s">
        <v>2548</v>
      </c>
      <c r="Z545" t="str">
        <f>IFERROR(VLOOKUP(ROWS($Z$3:Z545),$X$3:$Y$992,2,0),"")</f>
        <v>Výroba ručních mechanizovaných nástrojů</v>
      </c>
    </row>
    <row r="546" spans="13:26">
      <c r="M546" s="305">
        <f>IF(ISNUMBER(SEARCH(ZAKL_DATA!$B$29,N546)),MAX($M$2:M545)+1,0)</f>
        <v>544</v>
      </c>
      <c r="N546" s="306" t="s">
        <v>2550</v>
      </c>
      <c r="O546" s="323" t="s">
        <v>2551</v>
      </c>
      <c r="P546" s="308"/>
      <c r="Q546" s="309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306" t="s">
        <v>2550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306" t="s">
        <v>2550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306" t="s">
        <v>2550</v>
      </c>
      <c r="Z546" t="str">
        <f>IFERROR(VLOOKUP(ROWS($Z$3:Z546),$X$3:$Y$992,2,0),"")</f>
        <v>Výroba průmyslových chladicích a klimatizačních zařízení</v>
      </c>
    </row>
    <row r="547" spans="13:26">
      <c r="M547" s="305">
        <f>IF(ISNUMBER(SEARCH(ZAKL_DATA!$B$29,N547)),MAX($M$2:M546)+1,0)</f>
        <v>545</v>
      </c>
      <c r="N547" s="306" t="s">
        <v>2552</v>
      </c>
      <c r="O547" s="323" t="s">
        <v>2553</v>
      </c>
      <c r="P547" s="308"/>
      <c r="Q547" s="309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306" t="s">
        <v>2552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306" t="s">
        <v>2552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306" t="s">
        <v>2552</v>
      </c>
      <c r="Z547" t="str">
        <f>IFERROR(VLOOKUP(ROWS($Z$3:Z547),$X$3:$Y$992,2,0),"")</f>
        <v>Výroba ostatních strojů a zařízení pro všeobecné účely j. n.</v>
      </c>
    </row>
    <row r="548" spans="13:26">
      <c r="M548" s="305">
        <f>IF(ISNUMBER(SEARCH(ZAKL_DATA!$B$29,N548)),MAX($M$2:M547)+1,0)</f>
        <v>546</v>
      </c>
      <c r="N548" s="306" t="s">
        <v>2554</v>
      </c>
      <c r="O548" s="323" t="s">
        <v>2555</v>
      </c>
      <c r="P548" s="308"/>
      <c r="Q548" s="309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306" t="s">
        <v>2554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306" t="s">
        <v>2554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306" t="s">
        <v>2554</v>
      </c>
      <c r="Z548" t="str">
        <f>IFERROR(VLOOKUP(ROWS($Z$3:Z548),$X$3:$Y$992,2,0),"")</f>
        <v>Výroba kovoobráběcích strojů</v>
      </c>
    </row>
    <row r="549" spans="13:26">
      <c r="M549" s="305">
        <f>IF(ISNUMBER(SEARCH(ZAKL_DATA!$B$29,N549)),MAX($M$2:M548)+1,0)</f>
        <v>547</v>
      </c>
      <c r="N549" s="306" t="s">
        <v>2556</v>
      </c>
      <c r="O549" s="323" t="s">
        <v>2557</v>
      </c>
      <c r="P549" s="308"/>
      <c r="Q549" s="309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306" t="s">
        <v>2556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306" t="s">
        <v>2556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306" t="s">
        <v>2556</v>
      </c>
      <c r="Z549" t="str">
        <f>IFERROR(VLOOKUP(ROWS($Z$3:Z549),$X$3:$Y$992,2,0),"")</f>
        <v>Výroba ostatních obráběcích strojů</v>
      </c>
    </row>
    <row r="550" spans="13:26">
      <c r="M550" s="305">
        <f>IF(ISNUMBER(SEARCH(ZAKL_DATA!$B$29,N550)),MAX($M$2:M549)+1,0)</f>
        <v>548</v>
      </c>
      <c r="N550" s="306" t="s">
        <v>2558</v>
      </c>
      <c r="O550" s="323" t="s">
        <v>2559</v>
      </c>
      <c r="P550" s="308"/>
      <c r="Q550" s="309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306" t="s">
        <v>2558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306" t="s">
        <v>2558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306" t="s">
        <v>2558</v>
      </c>
      <c r="Z550" t="str">
        <f>IFERROR(VLOOKUP(ROWS($Z$3:Z550),$X$3:$Y$992,2,0),"")</f>
        <v>Výroba strojů pro metalurgii</v>
      </c>
    </row>
    <row r="551" spans="13:26">
      <c r="M551" s="305">
        <f>IF(ISNUMBER(SEARCH(ZAKL_DATA!$B$29,N551)),MAX($M$2:M550)+1,0)</f>
        <v>549</v>
      </c>
      <c r="N551" s="306" t="s">
        <v>2560</v>
      </c>
      <c r="O551" s="323" t="s">
        <v>2561</v>
      </c>
      <c r="P551" s="308"/>
      <c r="Q551" s="309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306" t="s">
        <v>2560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306" t="s">
        <v>2560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306" t="s">
        <v>2560</v>
      </c>
      <c r="Z551" t="str">
        <f>IFERROR(VLOOKUP(ROWS($Z$3:Z551),$X$3:$Y$992,2,0),"")</f>
        <v>Výroba strojů pro těžbu, dobývání a stavebnictví</v>
      </c>
    </row>
    <row r="552" spans="13:26">
      <c r="M552" s="305">
        <f>IF(ISNUMBER(SEARCH(ZAKL_DATA!$B$29,N552)),MAX($M$2:M551)+1,0)</f>
        <v>550</v>
      </c>
      <c r="N552" s="306" t="s">
        <v>2562</v>
      </c>
      <c r="O552" s="323" t="s">
        <v>2563</v>
      </c>
      <c r="P552" s="308"/>
      <c r="Q552" s="309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306" t="s">
        <v>2562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306" t="s">
        <v>2562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306" t="s">
        <v>2562</v>
      </c>
      <c r="Z552" t="str">
        <f>IFERROR(VLOOKUP(ROWS($Z$3:Z552),$X$3:$Y$992,2,0),"")</f>
        <v>Výroba strojů na výrobu potravin, nápojů a zpracování tabáku</v>
      </c>
    </row>
    <row r="553" spans="13:26">
      <c r="M553" s="305">
        <f>IF(ISNUMBER(SEARCH(ZAKL_DATA!$B$29,N553)),MAX($M$2:M552)+1,0)</f>
        <v>551</v>
      </c>
      <c r="N553" s="306" t="s">
        <v>2564</v>
      </c>
      <c r="O553" s="323" t="s">
        <v>2565</v>
      </c>
      <c r="P553" s="308"/>
      <c r="Q553" s="309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306" t="s">
        <v>2564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306" t="s">
        <v>2564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306" t="s">
        <v>2564</v>
      </c>
      <c r="Z553" t="str">
        <f>IFERROR(VLOOKUP(ROWS($Z$3:Z553),$X$3:$Y$992,2,0),"")</f>
        <v>Výroba strojů na výrobu textilu, oděvních výrobků a výrobků z usní</v>
      </c>
    </row>
    <row r="554" spans="13:26">
      <c r="M554" s="305">
        <f>IF(ISNUMBER(SEARCH(ZAKL_DATA!$B$29,N554)),MAX($M$2:M553)+1,0)</f>
        <v>552</v>
      </c>
      <c r="N554" s="306" t="s">
        <v>2566</v>
      </c>
      <c r="O554" s="323" t="s">
        <v>2567</v>
      </c>
      <c r="P554" s="308"/>
      <c r="Q554" s="309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306" t="s">
        <v>2566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306" t="s">
        <v>2566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306" t="s">
        <v>2566</v>
      </c>
      <c r="Z554" t="str">
        <f>IFERROR(VLOOKUP(ROWS($Z$3:Z554),$X$3:$Y$992,2,0),"")</f>
        <v>Výroba strojů a přístrojů na výrobu papíru a lepenky</v>
      </c>
    </row>
    <row r="555" spans="13:26">
      <c r="M555" s="305">
        <f>IF(ISNUMBER(SEARCH(ZAKL_DATA!$B$29,N555)),MAX($M$2:M554)+1,0)</f>
        <v>553</v>
      </c>
      <c r="N555" s="306" t="s">
        <v>2568</v>
      </c>
      <c r="O555" s="323" t="s">
        <v>2569</v>
      </c>
      <c r="P555" s="308"/>
      <c r="Q555" s="309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306" t="s">
        <v>2568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306" t="s">
        <v>2568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306" t="s">
        <v>2568</v>
      </c>
      <c r="Z555" t="str">
        <f>IFERROR(VLOOKUP(ROWS($Z$3:Z555),$X$3:$Y$992,2,0),"")</f>
        <v>Výroba strojů na výrobu plastů a pryže</v>
      </c>
    </row>
    <row r="556" spans="13:26">
      <c r="M556" s="305">
        <f>IF(ISNUMBER(SEARCH(ZAKL_DATA!$B$29,N556)),MAX($M$2:M555)+1,0)</f>
        <v>554</v>
      </c>
      <c r="N556" s="306" t="s">
        <v>2570</v>
      </c>
      <c r="O556" s="323" t="s">
        <v>2571</v>
      </c>
      <c r="P556" s="308"/>
      <c r="Q556" s="309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306" t="s">
        <v>2570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306" t="s">
        <v>2570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306" t="s">
        <v>2570</v>
      </c>
      <c r="Z556" t="str">
        <f>IFERROR(VLOOKUP(ROWS($Z$3:Z556),$X$3:$Y$992,2,0),"")</f>
        <v>Výroba ostatních strojů pro speciální účely j. n.</v>
      </c>
    </row>
    <row r="557" spans="13:26">
      <c r="M557" s="305">
        <f>IF(ISNUMBER(SEARCH(ZAKL_DATA!$B$29,N557)),MAX($M$2:M556)+1,0)</f>
        <v>555</v>
      </c>
      <c r="N557" s="306" t="s">
        <v>2572</v>
      </c>
      <c r="O557" s="323" t="s">
        <v>2573</v>
      </c>
      <c r="P557" s="308"/>
      <c r="Q557" s="309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306" t="s">
        <v>2572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306" t="s">
        <v>2572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306" t="s">
        <v>2572</v>
      </c>
      <c r="Z557" t="str">
        <f>IFERROR(VLOOKUP(ROWS($Z$3:Z557),$X$3:$Y$992,2,0),"")</f>
        <v>Výroba elektrického a elektronického zařízení pro motorová vozidla</v>
      </c>
    </row>
    <row r="558" spans="13:26">
      <c r="M558" s="305">
        <f>IF(ISNUMBER(SEARCH(ZAKL_DATA!$B$29,N558)),MAX($M$2:M557)+1,0)</f>
        <v>556</v>
      </c>
      <c r="N558" s="306" t="s">
        <v>2574</v>
      </c>
      <c r="O558" s="323" t="s">
        <v>2575</v>
      </c>
      <c r="P558" s="308"/>
      <c r="Q558" s="309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306" t="s">
        <v>2574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306" t="s">
        <v>2574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306" t="s">
        <v>2574</v>
      </c>
      <c r="Z558" t="str">
        <f>IFERROR(VLOOKUP(ROWS($Z$3:Z558),$X$3:$Y$992,2,0),"")</f>
        <v>Výroba ostatních dílů a příslušenství pro motorová vozidla</v>
      </c>
    </row>
    <row r="559" spans="13:26">
      <c r="M559" s="305">
        <f>IF(ISNUMBER(SEARCH(ZAKL_DATA!$B$29,N559)),MAX($M$2:M558)+1,0)</f>
        <v>557</v>
      </c>
      <c r="N559" s="306" t="s">
        <v>2576</v>
      </c>
      <c r="O559" s="323" t="s">
        <v>2577</v>
      </c>
      <c r="P559" s="308"/>
      <c r="Q559" s="309" t="str">
        <f>IFERROR(VLOOKUP(ROWS($Q$3:Q559),$M$3:$N$992,2,0),"")</f>
        <v>Stavba lodí a plavidel</v>
      </c>
      <c r="R559">
        <f>IF(ISNUMBER(SEARCH('1Př1'!$A$32,N559)),MAX($M$2:M558)+1,0)</f>
        <v>557</v>
      </c>
      <c r="S559" s="306" t="s">
        <v>2576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306" t="s">
        <v>2576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306" t="s">
        <v>2576</v>
      </c>
      <c r="Z559" t="str">
        <f>IFERROR(VLOOKUP(ROWS($Z$3:Z559),$X$3:$Y$992,2,0),"")</f>
        <v>Stavba lodí a plavidel</v>
      </c>
    </row>
    <row r="560" spans="13:26">
      <c r="M560" s="305">
        <f>IF(ISNUMBER(SEARCH(ZAKL_DATA!$B$29,N560)),MAX($M$2:M559)+1,0)</f>
        <v>558</v>
      </c>
      <c r="N560" s="306" t="s">
        <v>2578</v>
      </c>
      <c r="O560" s="323" t="s">
        <v>2579</v>
      </c>
      <c r="P560" s="308"/>
      <c r="Q560" s="309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306" t="s">
        <v>2578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306" t="s">
        <v>2578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306" t="s">
        <v>2578</v>
      </c>
      <c r="Z560" t="str">
        <f>IFERROR(VLOOKUP(ROWS($Z$3:Z560),$X$3:$Y$992,2,0),"")</f>
        <v>Stavba rekreačních a sportovních člunů</v>
      </c>
    </row>
    <row r="561" spans="13:26">
      <c r="M561" s="305">
        <f>IF(ISNUMBER(SEARCH(ZAKL_DATA!$B$29,N561)),MAX($M$2:M560)+1,0)</f>
        <v>559</v>
      </c>
      <c r="N561" s="306" t="s">
        <v>2580</v>
      </c>
      <c r="O561" s="323" t="s">
        <v>2581</v>
      </c>
      <c r="P561" s="308"/>
      <c r="Q561" s="309" t="str">
        <f>IFERROR(VLOOKUP(ROWS($Q$3:Q561),$M$3:$N$992,2,0),"")</f>
        <v>Výroba motocyklů</v>
      </c>
      <c r="R561">
        <f>IF(ISNUMBER(SEARCH('1Př1'!$A$32,N561)),MAX($M$2:M560)+1,0)</f>
        <v>559</v>
      </c>
      <c r="S561" s="306" t="s">
        <v>2580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306" t="s">
        <v>2580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306" t="s">
        <v>2580</v>
      </c>
      <c r="Z561" t="str">
        <f>IFERROR(VLOOKUP(ROWS($Z$3:Z561),$X$3:$Y$992,2,0),"")</f>
        <v>Výroba motocyklů</v>
      </c>
    </row>
    <row r="562" spans="13:26">
      <c r="M562" s="305">
        <f>IF(ISNUMBER(SEARCH(ZAKL_DATA!$B$29,N562)),MAX($M$2:M561)+1,0)</f>
        <v>560</v>
      </c>
      <c r="N562" s="306" t="s">
        <v>2582</v>
      </c>
      <c r="O562" s="323" t="s">
        <v>2583</v>
      </c>
      <c r="P562" s="308"/>
      <c r="Q562" s="309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306" t="s">
        <v>2582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306" t="s">
        <v>2582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306" t="s">
        <v>2582</v>
      </c>
      <c r="Z562" t="str">
        <f>IFERROR(VLOOKUP(ROWS($Z$3:Z562),$X$3:$Y$992,2,0),"")</f>
        <v>Výroba jízdních kol a vozíků pro invalidy</v>
      </c>
    </row>
    <row r="563" spans="13:26">
      <c r="M563" s="305">
        <f>IF(ISNUMBER(SEARCH(ZAKL_DATA!$B$29,N563)),MAX($M$2:M562)+1,0)</f>
        <v>561</v>
      </c>
      <c r="N563" s="306" t="s">
        <v>2584</v>
      </c>
      <c r="O563" s="323" t="s">
        <v>2585</v>
      </c>
      <c r="P563" s="308"/>
      <c r="Q563" s="309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306" t="s">
        <v>2584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306" t="s">
        <v>2584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306" t="s">
        <v>2584</v>
      </c>
      <c r="Z563" t="str">
        <f>IFERROR(VLOOKUP(ROWS($Z$3:Z563),$X$3:$Y$992,2,0),"")</f>
        <v>Výroba ostatních dopravních prostředků a zařízení j. n.</v>
      </c>
    </row>
    <row r="564" spans="13:26">
      <c r="M564" s="305">
        <f>IF(ISNUMBER(SEARCH(ZAKL_DATA!$B$29,N564)),MAX($M$2:M563)+1,0)</f>
        <v>562</v>
      </c>
      <c r="N564" s="306" t="s">
        <v>2586</v>
      </c>
      <c r="O564" s="323" t="s">
        <v>2587</v>
      </c>
      <c r="P564" s="308"/>
      <c r="Q564" s="309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306" t="s">
        <v>2586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306" t="s">
        <v>2586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306" t="s">
        <v>2586</v>
      </c>
      <c r="Z564" t="str">
        <f>IFERROR(VLOOKUP(ROWS($Z$3:Z564),$X$3:$Y$992,2,0),"")</f>
        <v>Výroba kancelářského nábytku a zařízení obchodů</v>
      </c>
    </row>
    <row r="565" spans="13:26">
      <c r="M565" s="305">
        <f>IF(ISNUMBER(SEARCH(ZAKL_DATA!$B$29,N565)),MAX($M$2:M564)+1,0)</f>
        <v>563</v>
      </c>
      <c r="N565" s="306" t="s">
        <v>2588</v>
      </c>
      <c r="O565" s="323" t="s">
        <v>2589</v>
      </c>
      <c r="P565" s="308"/>
      <c r="Q565" s="309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306" t="s">
        <v>2588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306" t="s">
        <v>2588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306" t="s">
        <v>2588</v>
      </c>
      <c r="Z565" t="str">
        <f>IFERROR(VLOOKUP(ROWS($Z$3:Z565),$X$3:$Y$992,2,0),"")</f>
        <v>Výroba kuchyňského nábytku</v>
      </c>
    </row>
    <row r="566" spans="13:26">
      <c r="M566" s="305">
        <f>IF(ISNUMBER(SEARCH(ZAKL_DATA!$B$29,N566)),MAX($M$2:M565)+1,0)</f>
        <v>564</v>
      </c>
      <c r="N566" s="306" t="s">
        <v>2590</v>
      </c>
      <c r="O566" s="323" t="s">
        <v>2591</v>
      </c>
      <c r="P566" s="308"/>
      <c r="Q566" s="309" t="str">
        <f>IFERROR(VLOOKUP(ROWS($Q$3:Q566),$M$3:$N$992,2,0),"")</f>
        <v>Výroba matrací</v>
      </c>
      <c r="R566">
        <f>IF(ISNUMBER(SEARCH('1Př1'!$A$32,N566)),MAX($M$2:M565)+1,0)</f>
        <v>564</v>
      </c>
      <c r="S566" s="306" t="s">
        <v>2590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306" t="s">
        <v>2590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306" t="s">
        <v>2590</v>
      </c>
      <c r="Z566" t="str">
        <f>IFERROR(VLOOKUP(ROWS($Z$3:Z566),$X$3:$Y$992,2,0),"")</f>
        <v>Výroba matrací</v>
      </c>
    </row>
    <row r="567" spans="13:26">
      <c r="M567" s="305">
        <f>IF(ISNUMBER(SEARCH(ZAKL_DATA!$B$29,N567)),MAX($M$2:M566)+1,0)</f>
        <v>565</v>
      </c>
      <c r="N567" s="306" t="s">
        <v>2592</v>
      </c>
      <c r="O567" s="323" t="s">
        <v>2593</v>
      </c>
      <c r="P567" s="308"/>
      <c r="Q567" s="309" t="str">
        <f>IFERROR(VLOOKUP(ROWS($Q$3:Q567),$M$3:$N$992,2,0),"")</f>
        <v>Výroba ostatního nábytku</v>
      </c>
      <c r="R567">
        <f>IF(ISNUMBER(SEARCH('1Př1'!$A$32,N567)),MAX($M$2:M566)+1,0)</f>
        <v>565</v>
      </c>
      <c r="S567" s="306" t="s">
        <v>2592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306" t="s">
        <v>2592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306" t="s">
        <v>2592</v>
      </c>
      <c r="Z567" t="str">
        <f>IFERROR(VLOOKUP(ROWS($Z$3:Z567),$X$3:$Y$992,2,0),"")</f>
        <v>Výroba ostatního nábytku</v>
      </c>
    </row>
    <row r="568" spans="13:26">
      <c r="M568" s="305">
        <f>IF(ISNUMBER(SEARCH(ZAKL_DATA!$B$29,N568)),MAX($M$2:M567)+1,0)</f>
        <v>566</v>
      </c>
      <c r="N568" s="306" t="s">
        <v>2594</v>
      </c>
      <c r="O568" s="323" t="s">
        <v>2595</v>
      </c>
      <c r="P568" s="308"/>
      <c r="Q568" s="309" t="str">
        <f>IFERROR(VLOOKUP(ROWS($Q$3:Q568),$M$3:$N$992,2,0),"")</f>
        <v>Ražení mincí</v>
      </c>
      <c r="R568">
        <f>IF(ISNUMBER(SEARCH('1Př1'!$A$32,N568)),MAX($M$2:M567)+1,0)</f>
        <v>566</v>
      </c>
      <c r="S568" s="306" t="s">
        <v>2594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306" t="s">
        <v>2594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306" t="s">
        <v>2594</v>
      </c>
      <c r="Z568" t="str">
        <f>IFERROR(VLOOKUP(ROWS($Z$3:Z568),$X$3:$Y$992,2,0),"")</f>
        <v>Ražení mincí</v>
      </c>
    </row>
    <row r="569" spans="13:26">
      <c r="M569" s="305">
        <f>IF(ISNUMBER(SEARCH(ZAKL_DATA!$B$29,N569)),MAX($M$2:M568)+1,0)</f>
        <v>567</v>
      </c>
      <c r="N569" s="306" t="s">
        <v>2596</v>
      </c>
      <c r="O569" s="323" t="s">
        <v>2597</v>
      </c>
      <c r="P569" s="308"/>
      <c r="Q569" s="309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306" t="s">
        <v>2596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306" t="s">
        <v>2596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306" t="s">
        <v>2596</v>
      </c>
      <c r="Z569" t="str">
        <f>IFERROR(VLOOKUP(ROWS($Z$3:Z569),$X$3:$Y$992,2,0),"")</f>
        <v>Výroba klenotů a příbuzných výrobků</v>
      </c>
    </row>
    <row r="570" spans="13:26">
      <c r="M570" s="305">
        <f>IF(ISNUMBER(SEARCH(ZAKL_DATA!$B$29,N570)),MAX($M$2:M569)+1,0)</f>
        <v>568</v>
      </c>
      <c r="N570" s="306" t="s">
        <v>2598</v>
      </c>
      <c r="O570" s="323" t="s">
        <v>2599</v>
      </c>
      <c r="P570" s="308"/>
      <c r="Q570" s="309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306" t="s">
        <v>2598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306" t="s">
        <v>2598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306" t="s">
        <v>2598</v>
      </c>
      <c r="Z570" t="str">
        <f>IFERROR(VLOOKUP(ROWS($Z$3:Z570),$X$3:$Y$992,2,0),"")</f>
        <v>Výroba bižuterie a příbuzných výrobků</v>
      </c>
    </row>
    <row r="571" spans="13:26">
      <c r="M571" s="305">
        <f>IF(ISNUMBER(SEARCH(ZAKL_DATA!$B$29,N571)),MAX($M$2:M570)+1,0)</f>
        <v>569</v>
      </c>
      <c r="N571" s="306" t="s">
        <v>2600</v>
      </c>
      <c r="O571" s="323" t="s">
        <v>2601</v>
      </c>
      <c r="P571" s="308"/>
      <c r="Q571" s="309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306" t="s">
        <v>2600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306" t="s">
        <v>2600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306" t="s">
        <v>2600</v>
      </c>
      <c r="Z571" t="str">
        <f>IFERROR(VLOOKUP(ROWS($Z$3:Z571),$X$3:$Y$992,2,0),"")</f>
        <v>Výroba košťat a kartáčnických výrobků</v>
      </c>
    </row>
    <row r="572" spans="13:26">
      <c r="M572" s="305">
        <f>IF(ISNUMBER(SEARCH(ZAKL_DATA!$B$29,N572)),MAX($M$2:M571)+1,0)</f>
        <v>570</v>
      </c>
      <c r="N572" s="306" t="s">
        <v>2602</v>
      </c>
      <c r="O572" s="323" t="s">
        <v>2603</v>
      </c>
      <c r="P572" s="308"/>
      <c r="Q572" s="309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306" t="s">
        <v>2602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306" t="s">
        <v>2602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306" t="s">
        <v>2602</v>
      </c>
      <c r="Z572" t="str">
        <f>IFERROR(VLOOKUP(ROWS($Z$3:Z572),$X$3:$Y$992,2,0),"")</f>
        <v>Ostatní zpracovatelský průmysl j. n.</v>
      </c>
    </row>
    <row r="573" spans="13:26">
      <c r="M573" s="305">
        <f>IF(ISNUMBER(SEARCH(ZAKL_DATA!$B$29,N573)),MAX($M$2:M572)+1,0)</f>
        <v>571</v>
      </c>
      <c r="N573" s="306" t="s">
        <v>2604</v>
      </c>
      <c r="O573" s="323" t="s">
        <v>2605</v>
      </c>
      <c r="P573" s="308"/>
      <c r="Q573" s="309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306" t="s">
        <v>2604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306" t="s">
        <v>2604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306" t="s">
        <v>2604</v>
      </c>
      <c r="Z573" t="str">
        <f>IFERROR(VLOOKUP(ROWS($Z$3:Z573),$X$3:$Y$992,2,0),"")</f>
        <v>Opravy kovodělných výrobků</v>
      </c>
    </row>
    <row r="574" spans="13:26">
      <c r="M574" s="305">
        <f>IF(ISNUMBER(SEARCH(ZAKL_DATA!$B$29,N574)),MAX($M$2:M573)+1,0)</f>
        <v>572</v>
      </c>
      <c r="N574" s="306" t="s">
        <v>2606</v>
      </c>
      <c r="O574" s="323" t="s">
        <v>2607</v>
      </c>
      <c r="P574" s="308"/>
      <c r="Q574" s="309" t="str">
        <f>IFERROR(VLOOKUP(ROWS($Q$3:Q574),$M$3:$N$992,2,0),"")</f>
        <v>Opravy strojů</v>
      </c>
      <c r="R574">
        <f>IF(ISNUMBER(SEARCH('1Př1'!$A$32,N574)),MAX($M$2:M573)+1,0)</f>
        <v>572</v>
      </c>
      <c r="S574" s="306" t="s">
        <v>2606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306" t="s">
        <v>2606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306" t="s">
        <v>2606</v>
      </c>
      <c r="Z574" t="str">
        <f>IFERROR(VLOOKUP(ROWS($Z$3:Z574),$X$3:$Y$992,2,0),"")</f>
        <v>Opravy strojů</v>
      </c>
    </row>
    <row r="575" spans="13:26">
      <c r="M575" s="305">
        <f>IF(ISNUMBER(SEARCH(ZAKL_DATA!$B$29,N575)),MAX($M$2:M574)+1,0)</f>
        <v>573</v>
      </c>
      <c r="N575" s="306" t="s">
        <v>2608</v>
      </c>
      <c r="O575" s="323" t="s">
        <v>2609</v>
      </c>
      <c r="P575" s="308"/>
      <c r="Q575" s="309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306" t="s">
        <v>2608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306" t="s">
        <v>2608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306" t="s">
        <v>2608</v>
      </c>
      <c r="Z575" t="str">
        <f>IFERROR(VLOOKUP(ROWS($Z$3:Z575),$X$3:$Y$992,2,0),"")</f>
        <v>Opravy elektronických a optických přístrojů a zařízení</v>
      </c>
    </row>
    <row r="576" spans="13:26">
      <c r="M576" s="305">
        <f>IF(ISNUMBER(SEARCH(ZAKL_DATA!$B$29,N576)),MAX($M$2:M575)+1,0)</f>
        <v>574</v>
      </c>
      <c r="N576" s="306" t="s">
        <v>2610</v>
      </c>
      <c r="O576" s="323" t="s">
        <v>2611</v>
      </c>
      <c r="P576" s="308"/>
      <c r="Q576" s="309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306" t="s">
        <v>2610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306" t="s">
        <v>2610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306" t="s">
        <v>2610</v>
      </c>
      <c r="Z576" t="str">
        <f>IFERROR(VLOOKUP(ROWS($Z$3:Z576),$X$3:$Y$992,2,0),"")</f>
        <v>Opravy elektrických zařízen</v>
      </c>
    </row>
    <row r="577" spans="13:26">
      <c r="M577" s="305">
        <f>IF(ISNUMBER(SEARCH(ZAKL_DATA!$B$29,N577)),MAX($M$2:M576)+1,0)</f>
        <v>575</v>
      </c>
      <c r="N577" s="306" t="s">
        <v>2612</v>
      </c>
      <c r="O577" s="323" t="s">
        <v>2613</v>
      </c>
      <c r="P577" s="308"/>
      <c r="Q577" s="309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306" t="s">
        <v>2612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306" t="s">
        <v>2612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306" t="s">
        <v>2612</v>
      </c>
      <c r="Z577" t="str">
        <f>IFERROR(VLOOKUP(ROWS($Z$3:Z577),$X$3:$Y$992,2,0),"")</f>
        <v>Opravy a údržba lodí a člunů</v>
      </c>
    </row>
    <row r="578" spans="13:26">
      <c r="M578" s="305">
        <f>IF(ISNUMBER(SEARCH(ZAKL_DATA!$B$29,N578)),MAX($M$2:M577)+1,0)</f>
        <v>576</v>
      </c>
      <c r="N578" s="306" t="s">
        <v>2614</v>
      </c>
      <c r="O578" s="323" t="s">
        <v>2615</v>
      </c>
      <c r="P578" s="308"/>
      <c r="Q578" s="309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306" t="s">
        <v>2614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306" t="s">
        <v>2614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306" t="s">
        <v>2614</v>
      </c>
      <c r="Z578" t="str">
        <f>IFERROR(VLOOKUP(ROWS($Z$3:Z578),$X$3:$Y$992,2,0),"")</f>
        <v>Opravy a údržba letadel a kosmických lodí</v>
      </c>
    </row>
    <row r="579" spans="13:26">
      <c r="M579" s="305">
        <f>IF(ISNUMBER(SEARCH(ZAKL_DATA!$B$29,N579)),MAX($M$2:M578)+1,0)</f>
        <v>577</v>
      </c>
      <c r="N579" s="306" t="s">
        <v>2616</v>
      </c>
      <c r="O579" s="323" t="s">
        <v>2617</v>
      </c>
      <c r="P579" s="308"/>
      <c r="Q579" s="309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306" t="s">
        <v>2616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306" t="s">
        <v>2616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306" t="s">
        <v>2616</v>
      </c>
      <c r="Z579" t="str">
        <f>IFERROR(VLOOKUP(ROWS($Z$3:Z579),$X$3:$Y$992,2,0),"")</f>
        <v>Opravy a údržba ostatních dopravních prostředků a zařízení j. n.</v>
      </c>
    </row>
    <row r="580" spans="13:26">
      <c r="M580" s="305">
        <f>IF(ISNUMBER(SEARCH(ZAKL_DATA!$B$29,N580)),MAX($M$2:M579)+1,0)</f>
        <v>578</v>
      </c>
      <c r="N580" s="306" t="s">
        <v>2618</v>
      </c>
      <c r="O580" s="323" t="s">
        <v>2619</v>
      </c>
      <c r="P580" s="308"/>
      <c r="Q580" s="309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306" t="s">
        <v>2618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306" t="s">
        <v>2618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306" t="s">
        <v>2618</v>
      </c>
      <c r="Z580" t="str">
        <f>IFERROR(VLOOKUP(ROWS($Z$3:Z580),$X$3:$Y$992,2,0),"")</f>
        <v>Opravy ostatních zařízení</v>
      </c>
    </row>
    <row r="581" spans="13:26">
      <c r="M581" s="305">
        <f>IF(ISNUMBER(SEARCH(ZAKL_DATA!$B$29,N581)),MAX($M$2:M580)+1,0)</f>
        <v>579</v>
      </c>
      <c r="N581" s="306" t="s">
        <v>2620</v>
      </c>
      <c r="O581" s="323" t="s">
        <v>2621</v>
      </c>
      <c r="P581" s="308"/>
      <c r="Q581" s="309" t="str">
        <f>IFERROR(VLOOKUP(ROWS($Q$3:Q581),$M$3:$N$992,2,0),"")</f>
        <v>Výroba elektřiny</v>
      </c>
      <c r="R581">
        <f>IF(ISNUMBER(SEARCH('1Př1'!$A$32,N581)),MAX($M$2:M580)+1,0)</f>
        <v>579</v>
      </c>
      <c r="S581" s="306" t="s">
        <v>2620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306" t="s">
        <v>2620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306" t="s">
        <v>2620</v>
      </c>
      <c r="Z581" t="str">
        <f>IFERROR(VLOOKUP(ROWS($Z$3:Z581),$X$3:$Y$992,2,0),"")</f>
        <v>Výroba elektřiny</v>
      </c>
    </row>
    <row r="582" spans="13:26">
      <c r="M582" s="305">
        <f>IF(ISNUMBER(SEARCH(ZAKL_DATA!$B$29,N582)),MAX($M$2:M581)+1,0)</f>
        <v>580</v>
      </c>
      <c r="N582" s="306" t="s">
        <v>2622</v>
      </c>
      <c r="O582" s="323" t="s">
        <v>2623</v>
      </c>
      <c r="P582" s="308"/>
      <c r="Q582" s="309" t="str">
        <f>IFERROR(VLOOKUP(ROWS($Q$3:Q582),$M$3:$N$992,2,0),"")</f>
        <v>Přenos elektřiny</v>
      </c>
      <c r="R582">
        <f>IF(ISNUMBER(SEARCH('1Př1'!$A$32,N582)),MAX($M$2:M581)+1,0)</f>
        <v>580</v>
      </c>
      <c r="S582" s="306" t="s">
        <v>2622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306" t="s">
        <v>2622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306" t="s">
        <v>2622</v>
      </c>
      <c r="Z582" t="str">
        <f>IFERROR(VLOOKUP(ROWS($Z$3:Z582),$X$3:$Y$992,2,0),"")</f>
        <v>Přenos elektřiny</v>
      </c>
    </row>
    <row r="583" spans="13:26">
      <c r="M583" s="305">
        <f>IF(ISNUMBER(SEARCH(ZAKL_DATA!$B$29,N583)),MAX($M$2:M582)+1,0)</f>
        <v>581</v>
      </c>
      <c r="N583" s="306" t="s">
        <v>2624</v>
      </c>
      <c r="O583" s="323" t="s">
        <v>2625</v>
      </c>
      <c r="P583" s="308"/>
      <c r="Q583" s="309" t="str">
        <f>IFERROR(VLOOKUP(ROWS($Q$3:Q583),$M$3:$N$992,2,0),"")</f>
        <v>Rozvod elektřiny</v>
      </c>
      <c r="R583">
        <f>IF(ISNUMBER(SEARCH('1Př1'!$A$32,N583)),MAX($M$2:M582)+1,0)</f>
        <v>581</v>
      </c>
      <c r="S583" s="306" t="s">
        <v>2624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306" t="s">
        <v>2624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306" t="s">
        <v>2624</v>
      </c>
      <c r="Z583" t="str">
        <f>IFERROR(VLOOKUP(ROWS($Z$3:Z583),$X$3:$Y$992,2,0),"")</f>
        <v>Rozvod elektřiny</v>
      </c>
    </row>
    <row r="584" spans="13:26">
      <c r="M584" s="305">
        <f>IF(ISNUMBER(SEARCH(ZAKL_DATA!$B$29,N584)),MAX($M$2:M583)+1,0)</f>
        <v>582</v>
      </c>
      <c r="N584" s="306" t="s">
        <v>2626</v>
      </c>
      <c r="O584" s="323" t="s">
        <v>2627</v>
      </c>
      <c r="P584" s="308"/>
      <c r="Q584" s="309" t="str">
        <f>IFERROR(VLOOKUP(ROWS($Q$3:Q584),$M$3:$N$992,2,0),"")</f>
        <v>Obchod s elektřinou</v>
      </c>
      <c r="R584">
        <f>IF(ISNUMBER(SEARCH('1Př1'!$A$32,N584)),MAX($M$2:M583)+1,0)</f>
        <v>582</v>
      </c>
      <c r="S584" s="306" t="s">
        <v>2626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306" t="s">
        <v>2626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306" t="s">
        <v>2626</v>
      </c>
      <c r="Z584" t="str">
        <f>IFERROR(VLOOKUP(ROWS($Z$3:Z584),$X$3:$Y$992,2,0),"")</f>
        <v>Obchod s elektřinou</v>
      </c>
    </row>
    <row r="585" spans="13:26">
      <c r="M585" s="305">
        <f>IF(ISNUMBER(SEARCH(ZAKL_DATA!$B$29,N585)),MAX($M$2:M584)+1,0)</f>
        <v>583</v>
      </c>
      <c r="N585" s="306" t="s">
        <v>2628</v>
      </c>
      <c r="O585" s="323" t="s">
        <v>2629</v>
      </c>
      <c r="P585" s="308"/>
      <c r="Q585" s="309" t="str">
        <f>IFERROR(VLOOKUP(ROWS($Q$3:Q585),$M$3:$N$992,2,0),"")</f>
        <v>Výroba plynu</v>
      </c>
      <c r="R585">
        <f>IF(ISNUMBER(SEARCH('1Př1'!$A$32,N585)),MAX($M$2:M584)+1,0)</f>
        <v>583</v>
      </c>
      <c r="S585" s="306" t="s">
        <v>2628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306" t="s">
        <v>2628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306" t="s">
        <v>2628</v>
      </c>
      <c r="Z585" t="str">
        <f>IFERROR(VLOOKUP(ROWS($Z$3:Z585),$X$3:$Y$992,2,0),"")</f>
        <v>Výroba plynu</v>
      </c>
    </row>
    <row r="586" spans="13:26">
      <c r="M586" s="305">
        <f>IF(ISNUMBER(SEARCH(ZAKL_DATA!$B$29,N586)),MAX($M$2:M585)+1,0)</f>
        <v>584</v>
      </c>
      <c r="N586" s="306" t="s">
        <v>2630</v>
      </c>
      <c r="O586" s="323" t="s">
        <v>2631</v>
      </c>
      <c r="P586" s="308"/>
      <c r="Q586" s="309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306" t="s">
        <v>2630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306" t="s">
        <v>2630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306" t="s">
        <v>2630</v>
      </c>
      <c r="Z586" t="str">
        <f>IFERROR(VLOOKUP(ROWS($Z$3:Z586),$X$3:$Y$992,2,0),"")</f>
        <v>Rozvod plynných paliv prostřednictvím sítí</v>
      </c>
    </row>
    <row r="587" spans="13:26">
      <c r="M587" s="305">
        <f>IF(ISNUMBER(SEARCH(ZAKL_DATA!$B$29,N587)),MAX($M$2:M586)+1,0)</f>
        <v>585</v>
      </c>
      <c r="N587" s="306" t="s">
        <v>2632</v>
      </c>
      <c r="O587" s="323" t="s">
        <v>2633</v>
      </c>
      <c r="P587" s="308"/>
      <c r="Q587" s="309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306" t="s">
        <v>2632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306" t="s">
        <v>2632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306" t="s">
        <v>2632</v>
      </c>
      <c r="Z587" t="str">
        <f>IFERROR(VLOOKUP(ROWS($Z$3:Z587),$X$3:$Y$992,2,0),"")</f>
        <v>Obchod s plynem prostřednictvím sítí</v>
      </c>
    </row>
    <row r="588" spans="13:26">
      <c r="M588" s="305">
        <f>IF(ISNUMBER(SEARCH(ZAKL_DATA!$B$29,N588)),MAX($M$2:M587)+1,0)</f>
        <v>586</v>
      </c>
      <c r="N588" s="306" t="s">
        <v>2634</v>
      </c>
      <c r="O588" s="323" t="s">
        <v>2635</v>
      </c>
      <c r="P588" s="308"/>
      <c r="Q588" s="309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306" t="s">
        <v>2634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306" t="s">
        <v>2634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306" t="s">
        <v>2634</v>
      </c>
      <c r="Z588" t="str">
        <f>IFERROR(VLOOKUP(ROWS($Z$3:Z588),$X$3:$Y$992,2,0),"")</f>
        <v>Shromažďování a sběr odpadů, kromě nebezpečných</v>
      </c>
    </row>
    <row r="589" spans="13:26">
      <c r="M589" s="305">
        <f>IF(ISNUMBER(SEARCH(ZAKL_DATA!$B$29,N589)),MAX($M$2:M588)+1,0)</f>
        <v>587</v>
      </c>
      <c r="N589" s="306" t="s">
        <v>2636</v>
      </c>
      <c r="O589" s="323" t="s">
        <v>2637</v>
      </c>
      <c r="P589" s="308"/>
      <c r="Q589" s="309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306" t="s">
        <v>2636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306" t="s">
        <v>2636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306" t="s">
        <v>2636</v>
      </c>
      <c r="Z589" t="str">
        <f>IFERROR(VLOOKUP(ROWS($Z$3:Z589),$X$3:$Y$992,2,0),"")</f>
        <v>Shromažďování a sběr nebezpečných odpadů</v>
      </c>
    </row>
    <row r="590" spans="13:26">
      <c r="M590" s="305">
        <f>IF(ISNUMBER(SEARCH(ZAKL_DATA!$B$29,N590)),MAX($M$2:M589)+1,0)</f>
        <v>588</v>
      </c>
      <c r="N590" s="306" t="s">
        <v>2638</v>
      </c>
      <c r="O590" s="323" t="s">
        <v>2639</v>
      </c>
      <c r="P590" s="308"/>
      <c r="Q590" s="309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306" t="s">
        <v>2638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306" t="s">
        <v>2638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306" t="s">
        <v>2638</v>
      </c>
      <c r="Z590" t="str">
        <f>IFERROR(VLOOKUP(ROWS($Z$3:Z590),$X$3:$Y$992,2,0),"")</f>
        <v>Odstraňování odpadů, kromě nebezpečných</v>
      </c>
    </row>
    <row r="591" spans="13:26">
      <c r="M591" s="305">
        <f>IF(ISNUMBER(SEARCH(ZAKL_DATA!$B$29,N591)),MAX($M$2:M590)+1,0)</f>
        <v>589</v>
      </c>
      <c r="N591" s="306" t="s">
        <v>2640</v>
      </c>
      <c r="O591" s="323" t="s">
        <v>2641</v>
      </c>
      <c r="P591" s="308"/>
      <c r="Q591" s="309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306" t="s">
        <v>2640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306" t="s">
        <v>2640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306" t="s">
        <v>2640</v>
      </c>
      <c r="Z591" t="str">
        <f>IFERROR(VLOOKUP(ROWS($Z$3:Z591),$X$3:$Y$992,2,0),"")</f>
        <v>Odstraňování nebezpečných odpadů</v>
      </c>
    </row>
    <row r="592" spans="13:26">
      <c r="M592" s="305">
        <f>IF(ISNUMBER(SEARCH(ZAKL_DATA!$B$29,N592)),MAX($M$2:M591)+1,0)</f>
        <v>590</v>
      </c>
      <c r="N592" s="306" t="s">
        <v>2642</v>
      </c>
      <c r="O592" s="323" t="s">
        <v>2643</v>
      </c>
      <c r="P592" s="308"/>
      <c r="Q592" s="309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306" t="s">
        <v>2642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306" t="s">
        <v>2642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306" t="s">
        <v>2642</v>
      </c>
      <c r="Z592" t="str">
        <f>IFERROR(VLOOKUP(ROWS($Z$3:Z592),$X$3:$Y$992,2,0),"")</f>
        <v>Demontáž vraků a vyřazených strojů a zařízení pro účely recyklace</v>
      </c>
    </row>
    <row r="593" spans="13:26">
      <c r="M593" s="305">
        <f>IF(ISNUMBER(SEARCH(ZAKL_DATA!$B$29,N593)),MAX($M$2:M592)+1,0)</f>
        <v>591</v>
      </c>
      <c r="N593" s="306" t="s">
        <v>2644</v>
      </c>
      <c r="O593" s="323" t="s">
        <v>2645</v>
      </c>
      <c r="P593" s="308"/>
      <c r="Q593" s="309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306" t="s">
        <v>2644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306" t="s">
        <v>2644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306" t="s">
        <v>2644</v>
      </c>
      <c r="Z593" t="str">
        <f>IFERROR(VLOOKUP(ROWS($Z$3:Z593),$X$3:$Y$992,2,0),"")</f>
        <v>Úprava odpadů k dalšímu využití,kromě demontáže vraků,strojů a zařízení</v>
      </c>
    </row>
    <row r="594" spans="13:26">
      <c r="M594" s="305">
        <f>IF(ISNUMBER(SEARCH(ZAKL_DATA!$B$29,N594)),MAX($M$2:M593)+1,0)</f>
        <v>592</v>
      </c>
      <c r="N594" s="306" t="s">
        <v>2646</v>
      </c>
      <c r="O594" s="323" t="s">
        <v>1935</v>
      </c>
      <c r="P594" s="308"/>
      <c r="Q594" s="309" t="str">
        <f>IFERROR(VLOOKUP(ROWS($Q$3:Q594),$M$3:$N$992,2,0),"")</f>
        <v>Výstavba bytových budov</v>
      </c>
      <c r="R594">
        <f>IF(ISNUMBER(SEARCH('1Př1'!$A$32,N594)),MAX($M$2:M593)+1,0)</f>
        <v>592</v>
      </c>
      <c r="S594" s="306" t="s">
        <v>2646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306" t="s">
        <v>2646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306" t="s">
        <v>2646</v>
      </c>
      <c r="Z594" t="str">
        <f>IFERROR(VLOOKUP(ROWS($Z$3:Z594),$X$3:$Y$992,2,0),"")</f>
        <v>Výstavba bytových budov</v>
      </c>
    </row>
    <row r="595" spans="13:26">
      <c r="M595" s="305">
        <f>IF(ISNUMBER(SEARCH(ZAKL_DATA!$B$29,N595)),MAX($M$2:M594)+1,0)</f>
        <v>593</v>
      </c>
      <c r="N595" s="306" t="s">
        <v>2647</v>
      </c>
      <c r="O595" s="323" t="s">
        <v>2648</v>
      </c>
      <c r="P595" s="308"/>
      <c r="Q595" s="309" t="str">
        <f>IFERROR(VLOOKUP(ROWS($Q$3:Q595),$M$3:$N$992,2,0),"")</f>
        <v>Výstavba silnic a dálnic</v>
      </c>
      <c r="R595">
        <f>IF(ISNUMBER(SEARCH('1Př1'!$A$32,N595)),MAX($M$2:M594)+1,0)</f>
        <v>593</v>
      </c>
      <c r="S595" s="306" t="s">
        <v>2647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306" t="s">
        <v>2647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306" t="s">
        <v>2647</v>
      </c>
      <c r="Z595" t="str">
        <f>IFERROR(VLOOKUP(ROWS($Z$3:Z595),$X$3:$Y$992,2,0),"")</f>
        <v>Výstavba silnic a dálnic</v>
      </c>
    </row>
    <row r="596" spans="13:26">
      <c r="M596" s="305">
        <f>IF(ISNUMBER(SEARCH(ZAKL_DATA!$B$29,N596)),MAX($M$2:M595)+1,0)</f>
        <v>594</v>
      </c>
      <c r="N596" s="306" t="s">
        <v>2649</v>
      </c>
      <c r="O596" s="323" t="s">
        <v>2650</v>
      </c>
      <c r="P596" s="308"/>
      <c r="Q596" s="309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306" t="s">
        <v>2649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306" t="s">
        <v>2649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306" t="s">
        <v>2649</v>
      </c>
      <c r="Z596" t="str">
        <f>IFERROR(VLOOKUP(ROWS($Z$3:Z596),$X$3:$Y$992,2,0),"")</f>
        <v>Výstavba železnic a podzemních drah</v>
      </c>
    </row>
    <row r="597" spans="13:26">
      <c r="M597" s="305">
        <f>IF(ISNUMBER(SEARCH(ZAKL_DATA!$B$29,N597)),MAX($M$2:M596)+1,0)</f>
        <v>595</v>
      </c>
      <c r="N597" s="306" t="s">
        <v>2651</v>
      </c>
      <c r="O597" s="323" t="s">
        <v>2652</v>
      </c>
      <c r="P597" s="308"/>
      <c r="Q597" s="309" t="str">
        <f>IFERROR(VLOOKUP(ROWS($Q$3:Q597),$M$3:$N$992,2,0),"")</f>
        <v>Výstavba mostů a tunelů</v>
      </c>
      <c r="R597">
        <f>IF(ISNUMBER(SEARCH('1Př1'!$A$32,N597)),MAX($M$2:M596)+1,0)</f>
        <v>595</v>
      </c>
      <c r="S597" s="306" t="s">
        <v>2651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306" t="s">
        <v>2651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306" t="s">
        <v>2651</v>
      </c>
      <c r="Z597" t="str">
        <f>IFERROR(VLOOKUP(ROWS($Z$3:Z597),$X$3:$Y$992,2,0),"")</f>
        <v>Výstavba mostů a tunelů</v>
      </c>
    </row>
    <row r="598" spans="13:26">
      <c r="M598" s="305">
        <f>IF(ISNUMBER(SEARCH(ZAKL_DATA!$B$29,N598)),MAX($M$2:M597)+1,0)</f>
        <v>596</v>
      </c>
      <c r="N598" s="306" t="s">
        <v>2653</v>
      </c>
      <c r="O598" s="323" t="s">
        <v>2654</v>
      </c>
      <c r="P598" s="308"/>
      <c r="Q598" s="309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306" t="s">
        <v>2653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306" t="s">
        <v>2653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306" t="s">
        <v>2653</v>
      </c>
      <c r="Z598" t="str">
        <f>IFERROR(VLOOKUP(ROWS($Z$3:Z598),$X$3:$Y$992,2,0),"")</f>
        <v>Výstavba inženýrských sítí pro kapaliny a plyny</v>
      </c>
    </row>
    <row r="599" spans="13:26">
      <c r="M599" s="305">
        <f>IF(ISNUMBER(SEARCH(ZAKL_DATA!$B$29,N599)),MAX($M$2:M598)+1,0)</f>
        <v>597</v>
      </c>
      <c r="N599" s="306" t="s">
        <v>2655</v>
      </c>
      <c r="O599" s="323" t="s">
        <v>2656</v>
      </c>
      <c r="P599" s="308"/>
      <c r="Q599" s="309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306" t="s">
        <v>2655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306" t="s">
        <v>2655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306" t="s">
        <v>2655</v>
      </c>
      <c r="Z599" t="str">
        <f>IFERROR(VLOOKUP(ROWS($Z$3:Z599),$X$3:$Y$992,2,0),"")</f>
        <v>Výstavba inženýrských sítí pro elektřinu a telekomunikace</v>
      </c>
    </row>
    <row r="600" spans="13:26">
      <c r="M600" s="305">
        <f>IF(ISNUMBER(SEARCH(ZAKL_DATA!$B$29,N600)),MAX($M$2:M599)+1,0)</f>
        <v>598</v>
      </c>
      <c r="N600" s="306" t="s">
        <v>2657</v>
      </c>
      <c r="O600" s="323" t="s">
        <v>2658</v>
      </c>
      <c r="P600" s="308"/>
      <c r="Q600" s="309" t="str">
        <f>IFERROR(VLOOKUP(ROWS($Q$3:Q600),$M$3:$N$992,2,0),"")</f>
        <v>Výstavba vodních děl</v>
      </c>
      <c r="R600">
        <f>IF(ISNUMBER(SEARCH('1Př1'!$A$32,N600)),MAX($M$2:M599)+1,0)</f>
        <v>598</v>
      </c>
      <c r="S600" s="306" t="s">
        <v>2657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306" t="s">
        <v>2657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306" t="s">
        <v>2657</v>
      </c>
      <c r="Z600" t="str">
        <f>IFERROR(VLOOKUP(ROWS($Z$3:Z600),$X$3:$Y$992,2,0),"")</f>
        <v>Výstavba vodních děl</v>
      </c>
    </row>
    <row r="601" spans="13:26">
      <c r="M601" s="305">
        <f>IF(ISNUMBER(SEARCH(ZAKL_DATA!$B$29,N601)),MAX($M$2:M600)+1,0)</f>
        <v>599</v>
      </c>
      <c r="N601" s="306" t="s">
        <v>2659</v>
      </c>
      <c r="O601" s="323" t="s">
        <v>2660</v>
      </c>
      <c r="P601" s="308"/>
      <c r="Q601" s="309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306" t="s">
        <v>2659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306" t="s">
        <v>2659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306" t="s">
        <v>2659</v>
      </c>
      <c r="Z601" t="str">
        <f>IFERROR(VLOOKUP(ROWS($Z$3:Z601),$X$3:$Y$992,2,0),"")</f>
        <v>Výstavba ostatních staveb j. n.</v>
      </c>
    </row>
    <row r="602" spans="13:26">
      <c r="M602" s="305">
        <f>IF(ISNUMBER(SEARCH(ZAKL_DATA!$B$29,N602)),MAX($M$2:M601)+1,0)</f>
        <v>600</v>
      </c>
      <c r="N602" s="306" t="s">
        <v>2661</v>
      </c>
      <c r="O602" s="323" t="s">
        <v>2662</v>
      </c>
      <c r="P602" s="308"/>
      <c r="Q602" s="309" t="str">
        <f>IFERROR(VLOOKUP(ROWS($Q$3:Q602),$M$3:$N$992,2,0),"")</f>
        <v>Demolice</v>
      </c>
      <c r="R602">
        <f>IF(ISNUMBER(SEARCH('1Př1'!$A$32,N602)),MAX($M$2:M601)+1,0)</f>
        <v>600</v>
      </c>
      <c r="S602" s="306" t="s">
        <v>2661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306" t="s">
        <v>2661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306" t="s">
        <v>2661</v>
      </c>
      <c r="Z602" t="str">
        <f>IFERROR(VLOOKUP(ROWS($Z$3:Z602),$X$3:$Y$992,2,0),"")</f>
        <v>Demolice</v>
      </c>
    </row>
    <row r="603" spans="13:26">
      <c r="M603" s="305">
        <f>IF(ISNUMBER(SEARCH(ZAKL_DATA!$B$29,N603)),MAX($M$2:M602)+1,0)</f>
        <v>601</v>
      </c>
      <c r="N603" s="306" t="s">
        <v>2663</v>
      </c>
      <c r="O603" s="323" t="s">
        <v>2664</v>
      </c>
      <c r="P603" s="308"/>
      <c r="Q603" s="309" t="str">
        <f>IFERROR(VLOOKUP(ROWS($Q$3:Q603),$M$3:$N$992,2,0),"")</f>
        <v>Příprava staveniště</v>
      </c>
      <c r="R603">
        <f>IF(ISNUMBER(SEARCH('1Př1'!$A$32,N603)),MAX($M$2:M602)+1,0)</f>
        <v>601</v>
      </c>
      <c r="S603" s="306" t="s">
        <v>2663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306" t="s">
        <v>2663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306" t="s">
        <v>2663</v>
      </c>
      <c r="Z603" t="str">
        <f>IFERROR(VLOOKUP(ROWS($Z$3:Z603),$X$3:$Y$992,2,0),"")</f>
        <v>Příprava staveniště</v>
      </c>
    </row>
    <row r="604" spans="13:26">
      <c r="M604" s="305">
        <f>IF(ISNUMBER(SEARCH(ZAKL_DATA!$B$29,N604)),MAX($M$2:M603)+1,0)</f>
        <v>602</v>
      </c>
      <c r="N604" s="306" t="s">
        <v>2665</v>
      </c>
      <c r="O604" s="323" t="s">
        <v>2666</v>
      </c>
      <c r="P604" s="308"/>
      <c r="Q604" s="309" t="str">
        <f>IFERROR(VLOOKUP(ROWS($Q$3:Q604),$M$3:$N$992,2,0),"")</f>
        <v>Průzkumné vrtné práce</v>
      </c>
      <c r="R604">
        <f>IF(ISNUMBER(SEARCH('1Př1'!$A$32,N604)),MAX($M$2:M603)+1,0)</f>
        <v>602</v>
      </c>
      <c r="S604" s="306" t="s">
        <v>2665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306" t="s">
        <v>2665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306" t="s">
        <v>2665</v>
      </c>
      <c r="Z604" t="str">
        <f>IFERROR(VLOOKUP(ROWS($Z$3:Z604),$X$3:$Y$992,2,0),"")</f>
        <v>Průzkumné vrtné práce</v>
      </c>
    </row>
    <row r="605" spans="13:26">
      <c r="M605" s="305">
        <f>IF(ISNUMBER(SEARCH(ZAKL_DATA!$B$29,N605)),MAX($M$2:M604)+1,0)</f>
        <v>603</v>
      </c>
      <c r="N605" s="306" t="s">
        <v>2667</v>
      </c>
      <c r="O605" s="323" t="s">
        <v>2668</v>
      </c>
      <c r="P605" s="308"/>
      <c r="Q605" s="309" t="str">
        <f>IFERROR(VLOOKUP(ROWS($Q$3:Q605),$M$3:$N$992,2,0),"")</f>
        <v>Elektrické instalace</v>
      </c>
      <c r="R605">
        <f>IF(ISNUMBER(SEARCH('1Př1'!$A$32,N605)),MAX($M$2:M604)+1,0)</f>
        <v>603</v>
      </c>
      <c r="S605" s="306" t="s">
        <v>2667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306" t="s">
        <v>2667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306" t="s">
        <v>2667</v>
      </c>
      <c r="Z605" t="str">
        <f>IFERROR(VLOOKUP(ROWS($Z$3:Z605),$X$3:$Y$992,2,0),"")</f>
        <v>Elektrické instalace</v>
      </c>
    </row>
    <row r="606" spans="13:26">
      <c r="M606" s="305">
        <f>IF(ISNUMBER(SEARCH(ZAKL_DATA!$B$29,N606)),MAX($M$2:M605)+1,0)</f>
        <v>604</v>
      </c>
      <c r="N606" s="306" t="s">
        <v>2669</v>
      </c>
      <c r="O606" s="323" t="s">
        <v>2670</v>
      </c>
      <c r="P606" s="308"/>
      <c r="Q606" s="309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306" t="s">
        <v>2669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306" t="s">
        <v>2669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306" t="s">
        <v>2669</v>
      </c>
      <c r="Z606" t="str">
        <f>IFERROR(VLOOKUP(ROWS($Z$3:Z606),$X$3:$Y$992,2,0),"")</f>
        <v>Instalace vody, odpadu, plynu, topení a klimatizace</v>
      </c>
    </row>
    <row r="607" spans="13:26">
      <c r="M607" s="305">
        <f>IF(ISNUMBER(SEARCH(ZAKL_DATA!$B$29,N607)),MAX($M$2:M606)+1,0)</f>
        <v>605</v>
      </c>
      <c r="N607" s="306" t="s">
        <v>2671</v>
      </c>
      <c r="O607" s="323" t="s">
        <v>2672</v>
      </c>
      <c r="P607" s="308"/>
      <c r="Q607" s="309" t="str">
        <f>IFERROR(VLOOKUP(ROWS($Q$3:Q607),$M$3:$N$992,2,0),"")</f>
        <v>Ostatní stavební instalace</v>
      </c>
      <c r="R607">
        <f>IF(ISNUMBER(SEARCH('1Př1'!$A$32,N607)),MAX($M$2:M606)+1,0)</f>
        <v>605</v>
      </c>
      <c r="S607" s="306" t="s">
        <v>2671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306" t="s">
        <v>2671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306" t="s">
        <v>2671</v>
      </c>
      <c r="Z607" t="str">
        <f>IFERROR(VLOOKUP(ROWS($Z$3:Z607),$X$3:$Y$992,2,0),"")</f>
        <v>Ostatní stavební instalace</v>
      </c>
    </row>
    <row r="608" spans="13:26">
      <c r="M608" s="305">
        <f>IF(ISNUMBER(SEARCH(ZAKL_DATA!$B$29,N608)),MAX($M$2:M607)+1,0)</f>
        <v>606</v>
      </c>
      <c r="N608" s="306" t="s">
        <v>2673</v>
      </c>
      <c r="O608" s="323" t="s">
        <v>2674</v>
      </c>
      <c r="P608" s="308"/>
      <c r="Q608" s="309" t="str">
        <f>IFERROR(VLOOKUP(ROWS($Q$3:Q608),$M$3:$N$992,2,0),"")</f>
        <v>Omítkářské práce</v>
      </c>
      <c r="R608">
        <f>IF(ISNUMBER(SEARCH('1Př1'!$A$32,N608)),MAX($M$2:M607)+1,0)</f>
        <v>606</v>
      </c>
      <c r="S608" s="306" t="s">
        <v>2673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306" t="s">
        <v>2673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306" t="s">
        <v>2673</v>
      </c>
      <c r="Z608" t="str">
        <f>IFERROR(VLOOKUP(ROWS($Z$3:Z608),$X$3:$Y$992,2,0),"")</f>
        <v>Omítkářské práce</v>
      </c>
    </row>
    <row r="609" spans="13:26">
      <c r="M609" s="305">
        <f>IF(ISNUMBER(SEARCH(ZAKL_DATA!$B$29,N609)),MAX($M$2:M608)+1,0)</f>
        <v>607</v>
      </c>
      <c r="N609" s="306" t="s">
        <v>2675</v>
      </c>
      <c r="O609" s="323" t="s">
        <v>2676</v>
      </c>
      <c r="P609" s="308"/>
      <c r="Q609" s="309" t="str">
        <f>IFERROR(VLOOKUP(ROWS($Q$3:Q609),$M$3:$N$992,2,0),"")</f>
        <v>Truhlářské práce</v>
      </c>
      <c r="R609">
        <f>IF(ISNUMBER(SEARCH('1Př1'!$A$32,N609)),MAX($M$2:M608)+1,0)</f>
        <v>607</v>
      </c>
      <c r="S609" s="306" t="s">
        <v>2675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306" t="s">
        <v>2675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306" t="s">
        <v>2675</v>
      </c>
      <c r="Z609" t="str">
        <f>IFERROR(VLOOKUP(ROWS($Z$3:Z609),$X$3:$Y$992,2,0),"")</f>
        <v>Truhlářské práce</v>
      </c>
    </row>
    <row r="610" spans="13:26">
      <c r="M610" s="305">
        <f>IF(ISNUMBER(SEARCH(ZAKL_DATA!$B$29,N610)),MAX($M$2:M609)+1,0)</f>
        <v>608</v>
      </c>
      <c r="N610" s="306" t="s">
        <v>2677</v>
      </c>
      <c r="O610" s="323" t="s">
        <v>2678</v>
      </c>
      <c r="P610" s="308"/>
      <c r="Q610" s="309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306" t="s">
        <v>2677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306" t="s">
        <v>2677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306" t="s">
        <v>2677</v>
      </c>
      <c r="Z610" t="str">
        <f>IFERROR(VLOOKUP(ROWS($Z$3:Z610),$X$3:$Y$992,2,0),"")</f>
        <v>Obkládání stěn a pokládání podlahových krytin</v>
      </c>
    </row>
    <row r="611" spans="13:26">
      <c r="M611" s="305">
        <f>IF(ISNUMBER(SEARCH(ZAKL_DATA!$B$29,N611)),MAX($M$2:M610)+1,0)</f>
        <v>609</v>
      </c>
      <c r="N611" s="306" t="s">
        <v>2679</v>
      </c>
      <c r="O611" s="323" t="s">
        <v>2680</v>
      </c>
      <c r="P611" s="308"/>
      <c r="Q611" s="309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306" t="s">
        <v>2679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306" t="s">
        <v>2679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306" t="s">
        <v>2679</v>
      </c>
      <c r="Z611" t="str">
        <f>IFERROR(VLOOKUP(ROWS($Z$3:Z611),$X$3:$Y$992,2,0),"")</f>
        <v>Sklenářské, malířské a natěračské práce</v>
      </c>
    </row>
    <row r="612" spans="13:26">
      <c r="M612" s="305">
        <f>IF(ISNUMBER(SEARCH(ZAKL_DATA!$B$29,N612)),MAX($M$2:M611)+1,0)</f>
        <v>610</v>
      </c>
      <c r="N612" s="306" t="s">
        <v>2681</v>
      </c>
      <c r="O612" s="323" t="s">
        <v>2682</v>
      </c>
      <c r="P612" s="308"/>
      <c r="Q612" s="309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306" t="s">
        <v>2681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306" t="s">
        <v>2681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306" t="s">
        <v>2681</v>
      </c>
      <c r="Z612" t="str">
        <f>IFERROR(VLOOKUP(ROWS($Z$3:Z612),$X$3:$Y$992,2,0),"")</f>
        <v>Ostatní kompletační a dokončovací práce</v>
      </c>
    </row>
    <row r="613" spans="13:26">
      <c r="M613" s="305">
        <f>IF(ISNUMBER(SEARCH(ZAKL_DATA!$B$29,N613)),MAX($M$2:M612)+1,0)</f>
        <v>611</v>
      </c>
      <c r="N613" s="306" t="s">
        <v>2683</v>
      </c>
      <c r="O613" s="323" t="s">
        <v>2684</v>
      </c>
      <c r="P613" s="308"/>
      <c r="Q613" s="309" t="str">
        <f>IFERROR(VLOOKUP(ROWS($Q$3:Q613),$M$3:$N$992,2,0),"")</f>
        <v>Pokrývačské práce</v>
      </c>
      <c r="R613">
        <f>IF(ISNUMBER(SEARCH('1Př1'!$A$32,N613)),MAX($M$2:M612)+1,0)</f>
        <v>611</v>
      </c>
      <c r="S613" s="306" t="s">
        <v>2683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306" t="s">
        <v>2683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306" t="s">
        <v>2683</v>
      </c>
      <c r="Z613" t="str">
        <f>IFERROR(VLOOKUP(ROWS($Z$3:Z613),$X$3:$Y$992,2,0),"")</f>
        <v>Pokrývačské práce</v>
      </c>
    </row>
    <row r="614" spans="13:26">
      <c r="M614" s="305">
        <f>IF(ISNUMBER(SEARCH(ZAKL_DATA!$B$29,N614)),MAX($M$2:M613)+1,0)</f>
        <v>612</v>
      </c>
      <c r="N614" s="306" t="s">
        <v>2685</v>
      </c>
      <c r="O614" s="323" t="s">
        <v>2686</v>
      </c>
      <c r="P614" s="308"/>
      <c r="Q614" s="309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306" t="s">
        <v>2685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306" t="s">
        <v>2685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306" t="s">
        <v>2685</v>
      </c>
      <c r="Z614" t="str">
        <f>IFERROR(VLOOKUP(ROWS($Z$3:Z614),$X$3:$Y$992,2,0),"")</f>
        <v>Ostatní specializované stavební činnosti j. n.</v>
      </c>
    </row>
    <row r="615" spans="13:26">
      <c r="M615" s="305">
        <f>IF(ISNUMBER(SEARCH(ZAKL_DATA!$B$29,N615)),MAX($M$2:M614)+1,0)</f>
        <v>613</v>
      </c>
      <c r="N615" s="306" t="s">
        <v>2687</v>
      </c>
      <c r="O615" s="323" t="s">
        <v>2688</v>
      </c>
      <c r="P615" s="308"/>
      <c r="Q615" s="309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306" t="s">
        <v>2687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306" t="s">
        <v>2687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306" t="s">
        <v>2687</v>
      </c>
      <c r="Z615" t="str">
        <f>IFERROR(VLOOKUP(ROWS($Z$3:Z615),$X$3:$Y$992,2,0),"")</f>
        <v>Obchod s automobily a jinými lehkými motorovými vozidly</v>
      </c>
    </row>
    <row r="616" spans="13:26">
      <c r="M616" s="305">
        <f>IF(ISNUMBER(SEARCH(ZAKL_DATA!$B$29,N616)),MAX($M$2:M615)+1,0)</f>
        <v>614</v>
      </c>
      <c r="N616" s="306" t="s">
        <v>2689</v>
      </c>
      <c r="O616" s="323" t="s">
        <v>2690</v>
      </c>
      <c r="P616" s="308"/>
      <c r="Q616" s="309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306" t="s">
        <v>2689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306" t="s">
        <v>2689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306" t="s">
        <v>2689</v>
      </c>
      <c r="Z616" t="str">
        <f>IFERROR(VLOOKUP(ROWS($Z$3:Z616),$X$3:$Y$992,2,0),"")</f>
        <v>Obchod s ostatními motorovými vozidly, kromě motocyklů</v>
      </c>
    </row>
    <row r="617" spans="13:26">
      <c r="M617" s="305">
        <f>IF(ISNUMBER(SEARCH(ZAKL_DATA!$B$29,N617)),MAX($M$2:M616)+1,0)</f>
        <v>615</v>
      </c>
      <c r="N617" s="306" t="s">
        <v>2691</v>
      </c>
      <c r="O617" s="323" t="s">
        <v>2692</v>
      </c>
      <c r="P617" s="308"/>
      <c r="Q617" s="309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306" t="s">
        <v>2691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306" t="s">
        <v>2691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306" t="s">
        <v>2691</v>
      </c>
      <c r="Z617" t="str">
        <f>IFERROR(VLOOKUP(ROWS($Z$3:Z617),$X$3:$Y$992,2,0),"")</f>
        <v>Velkoobchod s díly a příslušenstvím pro motorová vozidla,kromě motocyklů</v>
      </c>
    </row>
    <row r="618" spans="13:26">
      <c r="M618" s="305">
        <f>IF(ISNUMBER(SEARCH(ZAKL_DATA!$B$29,N618)),MAX($M$2:M617)+1,0)</f>
        <v>616</v>
      </c>
      <c r="N618" s="306" t="s">
        <v>2693</v>
      </c>
      <c r="O618" s="323" t="s">
        <v>2694</v>
      </c>
      <c r="P618" s="308"/>
      <c r="Q618" s="309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306" t="s">
        <v>2693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306" t="s">
        <v>2693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306" t="s">
        <v>2693</v>
      </c>
      <c r="Z618" t="str">
        <f>IFERROR(VLOOKUP(ROWS($Z$3:Z618),$X$3:$Y$992,2,0),"")</f>
        <v>Maloobchod s díly a příslušenstvím pro motorová vozidla,kromě motocyklů</v>
      </c>
    </row>
    <row r="619" spans="13:26">
      <c r="M619" s="305">
        <f>IF(ISNUMBER(SEARCH(ZAKL_DATA!$B$29,N619)),MAX($M$2:M618)+1,0)</f>
        <v>617</v>
      </c>
      <c r="N619" s="306" t="s">
        <v>2695</v>
      </c>
      <c r="O619" s="323" t="s">
        <v>2696</v>
      </c>
      <c r="P619" s="308"/>
      <c r="Q619" s="309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306" t="s">
        <v>2695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306" t="s">
        <v>2695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306" t="s">
        <v>2695</v>
      </c>
      <c r="Z619" t="str">
        <f>IFERROR(VLOOKUP(ROWS($Z$3:Z619),$X$3:$Y$992,2,0),"")</f>
        <v>Zprostř.velkoob.a velkoob.v zast.se zákl.zem.pr.,živými zv.,text.sur.a pol.</v>
      </c>
    </row>
    <row r="620" spans="13:26">
      <c r="M620" s="305">
        <f>IF(ISNUMBER(SEARCH(ZAKL_DATA!$B$29,N620)),MAX($M$2:M619)+1,0)</f>
        <v>618</v>
      </c>
      <c r="N620" s="306" t="s">
        <v>2697</v>
      </c>
      <c r="O620" s="323" t="s">
        <v>2698</v>
      </c>
      <c r="P620" s="308"/>
      <c r="Q620" s="309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306" t="s">
        <v>2697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306" t="s">
        <v>2697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306" t="s">
        <v>2697</v>
      </c>
      <c r="Z620" t="str">
        <f>IFERROR(VLOOKUP(ROWS($Z$3:Z620),$X$3:$Y$992,2,0),"")</f>
        <v>Zprostř.velkoob.a velkoob.v zast.s palivy,rudami,kovy a prům.chemikáliemi</v>
      </c>
    </row>
    <row r="621" spans="13:26">
      <c r="M621" s="305">
        <f>IF(ISNUMBER(SEARCH(ZAKL_DATA!$B$29,N621)),MAX($M$2:M620)+1,0)</f>
        <v>619</v>
      </c>
      <c r="N621" s="306" t="s">
        <v>2699</v>
      </c>
      <c r="O621" s="323" t="s">
        <v>2700</v>
      </c>
      <c r="P621" s="308"/>
      <c r="Q621" s="309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306" t="s">
        <v>2699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306" t="s">
        <v>2699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306" t="s">
        <v>2699</v>
      </c>
      <c r="Z621" t="str">
        <f>IFERROR(VLOOKUP(ROWS($Z$3:Z621),$X$3:$Y$992,2,0),"")</f>
        <v>Zprostř.velkoobchodu a velkoobchod v zast.se dřevem a staveb.materiály</v>
      </c>
    </row>
    <row r="622" spans="13:26">
      <c r="M622" s="305">
        <f>IF(ISNUMBER(SEARCH(ZAKL_DATA!$B$29,N622)),MAX($M$2:M621)+1,0)</f>
        <v>620</v>
      </c>
      <c r="N622" s="306" t="s">
        <v>2701</v>
      </c>
      <c r="O622" s="323" t="s">
        <v>2702</v>
      </c>
      <c r="P622" s="308"/>
      <c r="Q622" s="309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306" t="s">
        <v>2701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306" t="s">
        <v>2701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306" t="s">
        <v>2701</v>
      </c>
      <c r="Z622" t="str">
        <f>IFERROR(VLOOKUP(ROWS($Z$3:Z622),$X$3:$Y$992,2,0),"")</f>
        <v>Zprostř.velkoobchodu a velkoob.v zast.se stroji,prům.zař.,loděmi a letadly</v>
      </c>
    </row>
    <row r="623" spans="13:26">
      <c r="M623" s="305">
        <f>IF(ISNUMBER(SEARCH(ZAKL_DATA!$B$29,N623)),MAX($M$2:M622)+1,0)</f>
        <v>621</v>
      </c>
      <c r="N623" s="306" t="s">
        <v>2703</v>
      </c>
      <c r="O623" s="323" t="s">
        <v>2704</v>
      </c>
      <c r="P623" s="308"/>
      <c r="Q623" s="309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306" t="s">
        <v>2703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306" t="s">
        <v>2703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306" t="s">
        <v>2703</v>
      </c>
      <c r="Z623" t="str">
        <f>IFERROR(VLOOKUP(ROWS($Z$3:Z623),$X$3:$Y$992,2,0),"")</f>
        <v>Zprostř.velkoob.a velkoob.v zast.s náb.,želez.zbožím a potř.převáž.pro dom.</v>
      </c>
    </row>
    <row r="624" spans="13:26">
      <c r="M624" s="305">
        <f>IF(ISNUMBER(SEARCH(ZAKL_DATA!$B$29,N624)),MAX($M$2:M623)+1,0)</f>
        <v>622</v>
      </c>
      <c r="N624" s="306" t="s">
        <v>2705</v>
      </c>
      <c r="O624" s="323" t="s">
        <v>2706</v>
      </c>
      <c r="P624" s="308"/>
      <c r="Q624" s="309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306" t="s">
        <v>2705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306" t="s">
        <v>2705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306" t="s">
        <v>2705</v>
      </c>
      <c r="Z624" t="str">
        <f>IFERROR(VLOOKUP(ROWS($Z$3:Z624),$X$3:$Y$992,2,0),"")</f>
        <v>Zprostř.velkoob.a velkoob.v zast.s text.,oděvy,kožešinami,obuví a kož.výr.</v>
      </c>
    </row>
    <row r="625" spans="13:26">
      <c r="M625" s="305">
        <f>IF(ISNUMBER(SEARCH(ZAKL_DATA!$B$29,N625)),MAX($M$2:M624)+1,0)</f>
        <v>623</v>
      </c>
      <c r="N625" s="306" t="s">
        <v>2707</v>
      </c>
      <c r="O625" s="323" t="s">
        <v>2708</v>
      </c>
      <c r="P625" s="308"/>
      <c r="Q625" s="309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306" t="s">
        <v>2707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306" t="s">
        <v>2707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306" t="s">
        <v>2707</v>
      </c>
      <c r="Z625" t="str">
        <f>IFERROR(VLOOKUP(ROWS($Z$3:Z625),$X$3:$Y$992,2,0),"")</f>
        <v>Zprostř.velkoob.a velkoob.v zast.s potr.,nápoji,tabákem a tabák.výrobky</v>
      </c>
    </row>
    <row r="626" spans="13:26">
      <c r="M626" s="305">
        <f>IF(ISNUMBER(SEARCH(ZAKL_DATA!$B$29,N626)),MAX($M$2:M625)+1,0)</f>
        <v>624</v>
      </c>
      <c r="N626" s="306" t="s">
        <v>2709</v>
      </c>
      <c r="O626" s="323" t="s">
        <v>2710</v>
      </c>
      <c r="P626" s="308"/>
      <c r="Q626" s="309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306" t="s">
        <v>2709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306" t="s">
        <v>2709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306" t="s">
        <v>2709</v>
      </c>
      <c r="Z626" t="str">
        <f>IFERROR(VLOOKUP(ROWS($Z$3:Z626),$X$3:$Y$992,2,0),"")</f>
        <v>Zprostř.specializ.velkoob.a specializ.velkoob.v zast.s ost.výrobky</v>
      </c>
    </row>
    <row r="627" spans="13:26">
      <c r="M627" s="305">
        <f>IF(ISNUMBER(SEARCH(ZAKL_DATA!$B$29,N627)),MAX($M$2:M626)+1,0)</f>
        <v>625</v>
      </c>
      <c r="N627" s="306" t="s">
        <v>2711</v>
      </c>
      <c r="O627" s="323" t="s">
        <v>2712</v>
      </c>
      <c r="P627" s="308"/>
      <c r="Q627" s="309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306" t="s">
        <v>2711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306" t="s">
        <v>2711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306" t="s">
        <v>2711</v>
      </c>
      <c r="Z627" t="str">
        <f>IFERROR(VLOOKUP(ROWS($Z$3:Z627),$X$3:$Y$992,2,0),"")</f>
        <v>Zprostř.nespecializ.velkoobchodu a nespecializ.velkoobchod v zast.</v>
      </c>
    </row>
    <row r="628" spans="13:26">
      <c r="M628" s="305">
        <f>IF(ISNUMBER(SEARCH(ZAKL_DATA!$B$29,N628)),MAX($M$2:M627)+1,0)</f>
        <v>626</v>
      </c>
      <c r="N628" s="306" t="s">
        <v>2713</v>
      </c>
      <c r="O628" s="323" t="s">
        <v>2714</v>
      </c>
      <c r="P628" s="308"/>
      <c r="Q628" s="309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306" t="s">
        <v>2713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306" t="s">
        <v>2713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306" t="s">
        <v>2713</v>
      </c>
      <c r="Z628" t="str">
        <f>IFERROR(VLOOKUP(ROWS($Z$3:Z628),$X$3:$Y$992,2,0),"")</f>
        <v>Velkoobchod s obilím, surovým tabákem, osivy a krmivy</v>
      </c>
    </row>
    <row r="629" spans="13:26">
      <c r="M629" s="305">
        <f>IF(ISNUMBER(SEARCH(ZAKL_DATA!$B$29,N629)),MAX($M$2:M628)+1,0)</f>
        <v>627</v>
      </c>
      <c r="N629" s="306" t="s">
        <v>2715</v>
      </c>
      <c r="O629" s="323" t="s">
        <v>2716</v>
      </c>
      <c r="P629" s="308"/>
      <c r="Q629" s="309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306" t="s">
        <v>2715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306" t="s">
        <v>2715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306" t="s">
        <v>2715</v>
      </c>
      <c r="Z629" t="str">
        <f>IFERROR(VLOOKUP(ROWS($Z$3:Z629),$X$3:$Y$992,2,0),"")</f>
        <v>Velkoobchod s květinami a jinými rostlinami</v>
      </c>
    </row>
    <row r="630" spans="13:26">
      <c r="M630" s="305">
        <f>IF(ISNUMBER(SEARCH(ZAKL_DATA!$B$29,N630)),MAX($M$2:M629)+1,0)</f>
        <v>628</v>
      </c>
      <c r="N630" s="306" t="s">
        <v>2717</v>
      </c>
      <c r="O630" s="323" t="s">
        <v>2718</v>
      </c>
      <c r="P630" s="308"/>
      <c r="Q630" s="309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306" t="s">
        <v>2717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306" t="s">
        <v>2717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306" t="s">
        <v>2717</v>
      </c>
      <c r="Z630" t="str">
        <f>IFERROR(VLOOKUP(ROWS($Z$3:Z630),$X$3:$Y$992,2,0),"")</f>
        <v>Velkoobchod s živými zvířaty</v>
      </c>
    </row>
    <row r="631" spans="13:26">
      <c r="M631" s="305">
        <f>IF(ISNUMBER(SEARCH(ZAKL_DATA!$B$29,N631)),MAX($M$2:M630)+1,0)</f>
        <v>629</v>
      </c>
      <c r="N631" s="306" t="s">
        <v>2719</v>
      </c>
      <c r="O631" s="323" t="s">
        <v>2720</v>
      </c>
      <c r="P631" s="308"/>
      <c r="Q631" s="309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306" t="s">
        <v>2719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306" t="s">
        <v>2719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306" t="s">
        <v>2719</v>
      </c>
      <c r="Z631" t="str">
        <f>IFERROR(VLOOKUP(ROWS($Z$3:Z631),$X$3:$Y$992,2,0),"")</f>
        <v>Velkoobchod se surovými kůžemi, kožešinami a usněmi</v>
      </c>
    </row>
    <row r="632" spans="13:26">
      <c r="M632" s="305">
        <f>IF(ISNUMBER(SEARCH(ZAKL_DATA!$B$29,N632)),MAX($M$2:M631)+1,0)</f>
        <v>630</v>
      </c>
      <c r="N632" s="306" t="s">
        <v>2721</v>
      </c>
      <c r="O632" s="323" t="s">
        <v>2722</v>
      </c>
      <c r="P632" s="308"/>
      <c r="Q632" s="309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306" t="s">
        <v>2721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306" t="s">
        <v>2721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306" t="s">
        <v>2721</v>
      </c>
      <c r="Z632" t="str">
        <f>IFERROR(VLOOKUP(ROWS($Z$3:Z632),$X$3:$Y$992,2,0),"")</f>
        <v>Velkoobchod s ovocem a zeleninou</v>
      </c>
    </row>
    <row r="633" spans="13:26">
      <c r="M633" s="305">
        <f>IF(ISNUMBER(SEARCH(ZAKL_DATA!$B$29,N633)),MAX($M$2:M632)+1,0)</f>
        <v>631</v>
      </c>
      <c r="N633" s="306" t="s">
        <v>2723</v>
      </c>
      <c r="O633" s="323" t="s">
        <v>2724</v>
      </c>
      <c r="P633" s="308"/>
      <c r="Q633" s="309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306" t="s">
        <v>2723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306" t="s">
        <v>2723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306" t="s">
        <v>2723</v>
      </c>
      <c r="Z633" t="str">
        <f>IFERROR(VLOOKUP(ROWS($Z$3:Z633),$X$3:$Y$992,2,0),"")</f>
        <v>Velkoobchod s masem a masnými výrobky</v>
      </c>
    </row>
    <row r="634" spans="13:26">
      <c r="M634" s="305">
        <f>IF(ISNUMBER(SEARCH(ZAKL_DATA!$B$29,N634)),MAX($M$2:M633)+1,0)</f>
        <v>632</v>
      </c>
      <c r="N634" s="306" t="s">
        <v>2725</v>
      </c>
      <c r="O634" s="323" t="s">
        <v>2726</v>
      </c>
      <c r="P634" s="308"/>
      <c r="Q634" s="309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306" t="s">
        <v>2725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306" t="s">
        <v>2725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306" t="s">
        <v>2725</v>
      </c>
      <c r="Z634" t="str">
        <f>IFERROR(VLOOKUP(ROWS($Z$3:Z634),$X$3:$Y$992,2,0),"")</f>
        <v>Velkoobchod s mléčnými výrobky, vejci, jedlými oleji a tuky</v>
      </c>
    </row>
    <row r="635" spans="13:26">
      <c r="M635" s="305">
        <f>IF(ISNUMBER(SEARCH(ZAKL_DATA!$B$29,N635)),MAX($M$2:M634)+1,0)</f>
        <v>633</v>
      </c>
      <c r="N635" s="306" t="s">
        <v>2727</v>
      </c>
      <c r="O635" s="323" t="s">
        <v>2728</v>
      </c>
      <c r="P635" s="308"/>
      <c r="Q635" s="309" t="str">
        <f>IFERROR(VLOOKUP(ROWS($Q$3:Q635),$M$3:$N$992,2,0),"")</f>
        <v>Velkoobchod s nápoji</v>
      </c>
      <c r="R635">
        <f>IF(ISNUMBER(SEARCH('1Př1'!$A$32,N635)),MAX($M$2:M634)+1,0)</f>
        <v>633</v>
      </c>
      <c r="S635" s="306" t="s">
        <v>2727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306" t="s">
        <v>2727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306" t="s">
        <v>2727</v>
      </c>
      <c r="Z635" t="str">
        <f>IFERROR(VLOOKUP(ROWS($Z$3:Z635),$X$3:$Y$992,2,0),"")</f>
        <v>Velkoobchod s nápoji</v>
      </c>
    </row>
    <row r="636" spans="13:26">
      <c r="M636" s="305">
        <f>IF(ISNUMBER(SEARCH(ZAKL_DATA!$B$29,N636)),MAX($M$2:M635)+1,0)</f>
        <v>634</v>
      </c>
      <c r="N636" s="306" t="s">
        <v>2729</v>
      </c>
      <c r="O636" s="323" t="s">
        <v>2730</v>
      </c>
      <c r="P636" s="308"/>
      <c r="Q636" s="309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306" t="s">
        <v>2729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306" t="s">
        <v>2729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306" t="s">
        <v>2729</v>
      </c>
      <c r="Z636" t="str">
        <f>IFERROR(VLOOKUP(ROWS($Z$3:Z636),$X$3:$Y$992,2,0),"")</f>
        <v>Velkoobchod s tabákovými výrobky</v>
      </c>
    </row>
    <row r="637" spans="13:26">
      <c r="M637" s="305">
        <f>IF(ISNUMBER(SEARCH(ZAKL_DATA!$B$29,N637)),MAX($M$2:M636)+1,0)</f>
        <v>635</v>
      </c>
      <c r="N637" s="306" t="s">
        <v>2731</v>
      </c>
      <c r="O637" s="323" t="s">
        <v>2732</v>
      </c>
      <c r="P637" s="308"/>
      <c r="Q637" s="309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306" t="s">
        <v>2731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306" t="s">
        <v>2731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306" t="s">
        <v>2731</v>
      </c>
      <c r="Z637" t="str">
        <f>IFERROR(VLOOKUP(ROWS($Z$3:Z637),$X$3:$Y$992,2,0),"")</f>
        <v>Velkoobchod s cukrem, čokoládou a cukrovinkami</v>
      </c>
    </row>
    <row r="638" spans="13:26">
      <c r="M638" s="305">
        <f>IF(ISNUMBER(SEARCH(ZAKL_DATA!$B$29,N638)),MAX($M$2:M637)+1,0)</f>
        <v>636</v>
      </c>
      <c r="N638" s="306" t="s">
        <v>2733</v>
      </c>
      <c r="O638" s="323" t="s">
        <v>2734</v>
      </c>
      <c r="P638" s="308"/>
      <c r="Q638" s="309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306" t="s">
        <v>2733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306" t="s">
        <v>2733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306" t="s">
        <v>2733</v>
      </c>
      <c r="Z638" t="str">
        <f>IFERROR(VLOOKUP(ROWS($Z$3:Z638),$X$3:$Y$992,2,0),"")</f>
        <v>Velkoobchod s kávou, čajem, kakaem a kořením</v>
      </c>
    </row>
    <row r="639" spans="13:26">
      <c r="M639" s="305">
        <f>IF(ISNUMBER(SEARCH(ZAKL_DATA!$B$29,N639)),MAX($M$2:M638)+1,0)</f>
        <v>637</v>
      </c>
      <c r="N639" s="306" t="s">
        <v>2735</v>
      </c>
      <c r="O639" s="323" t="s">
        <v>2736</v>
      </c>
      <c r="P639" s="308"/>
      <c r="Q639" s="309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306" t="s">
        <v>2735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306" t="s">
        <v>2735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306" t="s">
        <v>2735</v>
      </c>
      <c r="Z639" t="str">
        <f>IFERROR(VLOOKUP(ROWS($Z$3:Z639),$X$3:$Y$992,2,0),"")</f>
        <v>Specializ.velkoobchod s jinými potravinami,včetně ryb,korýšů a měkkýšů</v>
      </c>
    </row>
    <row r="640" spans="13:26">
      <c r="M640" s="305">
        <f>IF(ISNUMBER(SEARCH(ZAKL_DATA!$B$29,N640)),MAX($M$2:M639)+1,0)</f>
        <v>638</v>
      </c>
      <c r="N640" s="306" t="s">
        <v>2737</v>
      </c>
      <c r="O640" s="323" t="s">
        <v>2738</v>
      </c>
      <c r="P640" s="308"/>
      <c r="Q640" s="309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306" t="s">
        <v>2737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306" t="s">
        <v>2737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306" t="s">
        <v>2737</v>
      </c>
      <c r="Z640" t="str">
        <f>IFERROR(VLOOKUP(ROWS($Z$3:Z640),$X$3:$Y$992,2,0),"")</f>
        <v>Nespecializovaný velkoobchod s potravinami,nápoji a tabákovými výroby</v>
      </c>
    </row>
    <row r="641" spans="13:26">
      <c r="M641" s="305">
        <f>IF(ISNUMBER(SEARCH(ZAKL_DATA!$B$29,N641)),MAX($M$2:M640)+1,0)</f>
        <v>639</v>
      </c>
      <c r="N641" s="306" t="s">
        <v>2739</v>
      </c>
      <c r="O641" s="323" t="s">
        <v>2740</v>
      </c>
      <c r="P641" s="308"/>
      <c r="Q641" s="309" t="str">
        <f>IFERROR(VLOOKUP(ROWS($Q$3:Q641),$M$3:$N$992,2,0),"")</f>
        <v>Velkoobchod s textilem</v>
      </c>
      <c r="R641">
        <f>IF(ISNUMBER(SEARCH('1Př1'!$A$32,N641)),MAX($M$2:M640)+1,0)</f>
        <v>639</v>
      </c>
      <c r="S641" s="306" t="s">
        <v>2739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306" t="s">
        <v>2739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306" t="s">
        <v>2739</v>
      </c>
      <c r="Z641" t="str">
        <f>IFERROR(VLOOKUP(ROWS($Z$3:Z641),$X$3:$Y$992,2,0),"")</f>
        <v>Velkoobchod s textilem</v>
      </c>
    </row>
    <row r="642" spans="13:26">
      <c r="M642" s="305">
        <f>IF(ISNUMBER(SEARCH(ZAKL_DATA!$B$29,N642)),MAX($M$2:M641)+1,0)</f>
        <v>640</v>
      </c>
      <c r="N642" s="306" t="s">
        <v>2741</v>
      </c>
      <c r="O642" s="323" t="s">
        <v>2742</v>
      </c>
      <c r="P642" s="308"/>
      <c r="Q642" s="309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306" t="s">
        <v>2741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306" t="s">
        <v>2741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306" t="s">
        <v>2741</v>
      </c>
      <c r="Z642" t="str">
        <f>IFERROR(VLOOKUP(ROWS($Z$3:Z642),$X$3:$Y$992,2,0),"")</f>
        <v>Velkoobchod s oděvy a obuví</v>
      </c>
    </row>
    <row r="643" spans="13:26">
      <c r="M643" s="305">
        <f>IF(ISNUMBER(SEARCH(ZAKL_DATA!$B$29,N643)),MAX($M$2:M642)+1,0)</f>
        <v>641</v>
      </c>
      <c r="N643" s="306" t="s">
        <v>2743</v>
      </c>
      <c r="O643" s="323" t="s">
        <v>2744</v>
      </c>
      <c r="P643" s="308"/>
      <c r="Q643" s="309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306" t="s">
        <v>2743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306" t="s">
        <v>2743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306" t="s">
        <v>2743</v>
      </c>
      <c r="Z643" t="str">
        <f>IFERROR(VLOOKUP(ROWS($Z$3:Z643),$X$3:$Y$992,2,0),"")</f>
        <v>Velkoobchod s elektrospotřebiči a elektronikou</v>
      </c>
    </row>
    <row r="644" spans="13:26">
      <c r="M644" s="305">
        <f>IF(ISNUMBER(SEARCH(ZAKL_DATA!$B$29,N644)),MAX($M$2:M643)+1,0)</f>
        <v>642</v>
      </c>
      <c r="N644" s="306" t="s">
        <v>2745</v>
      </c>
      <c r="O644" s="323" t="s">
        <v>2746</v>
      </c>
      <c r="P644" s="308"/>
      <c r="Q644" s="309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306" t="s">
        <v>2745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306" t="s">
        <v>2745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306" t="s">
        <v>2745</v>
      </c>
      <c r="Z644" t="str">
        <f>IFERROR(VLOOKUP(ROWS($Z$3:Z644),$X$3:$Y$992,2,0),"")</f>
        <v>Velkoobchod s porcelán.,keram.a skleněnými výrobky a čisticími prostř.</v>
      </c>
    </row>
    <row r="645" spans="13:26">
      <c r="M645" s="305">
        <f>IF(ISNUMBER(SEARCH(ZAKL_DATA!$B$29,N645)),MAX($M$2:M644)+1,0)</f>
        <v>643</v>
      </c>
      <c r="N645" s="306" t="s">
        <v>2747</v>
      </c>
      <c r="O645" s="323" t="s">
        <v>2748</v>
      </c>
      <c r="P645" s="308"/>
      <c r="Q645" s="309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306" t="s">
        <v>2747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306" t="s">
        <v>2747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306" t="s">
        <v>2747</v>
      </c>
      <c r="Z645" t="str">
        <f>IFERROR(VLOOKUP(ROWS($Z$3:Z645),$X$3:$Y$992,2,0),"")</f>
        <v>Velkoobchod s kosmetickými výrobky</v>
      </c>
    </row>
    <row r="646" spans="13:26">
      <c r="M646" s="305">
        <f>IF(ISNUMBER(SEARCH(ZAKL_DATA!$B$29,N646)),MAX($M$2:M645)+1,0)</f>
        <v>644</v>
      </c>
      <c r="N646" s="306" t="s">
        <v>2749</v>
      </c>
      <c r="O646" s="323" t="s">
        <v>2750</v>
      </c>
      <c r="P646" s="308"/>
      <c r="Q646" s="309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306" t="s">
        <v>2749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306" t="s">
        <v>2749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306" t="s">
        <v>2749</v>
      </c>
      <c r="Z646" t="str">
        <f>IFERROR(VLOOKUP(ROWS($Z$3:Z646),$X$3:$Y$992,2,0),"")</f>
        <v>Velkoobchod s farmaceutickými výrobky</v>
      </c>
    </row>
    <row r="647" spans="13:26">
      <c r="M647" s="305">
        <f>IF(ISNUMBER(SEARCH(ZAKL_DATA!$B$29,N647)),MAX($M$2:M646)+1,0)</f>
        <v>645</v>
      </c>
      <c r="N647" s="306" t="s">
        <v>2751</v>
      </c>
      <c r="O647" s="323" t="s">
        <v>2752</v>
      </c>
      <c r="P647" s="308"/>
      <c r="Q647" s="309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306" t="s">
        <v>2751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306" t="s">
        <v>2751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306" t="s">
        <v>2751</v>
      </c>
      <c r="Z647" t="str">
        <f>IFERROR(VLOOKUP(ROWS($Z$3:Z647),$X$3:$Y$992,2,0),"")</f>
        <v>Velkoobchod s nábytkem, koberci a svítidly</v>
      </c>
    </row>
    <row r="648" spans="13:26">
      <c r="M648" s="305">
        <f>IF(ISNUMBER(SEARCH(ZAKL_DATA!$B$29,N648)),MAX($M$2:M647)+1,0)</f>
        <v>646</v>
      </c>
      <c r="N648" s="306" t="s">
        <v>2753</v>
      </c>
      <c r="O648" s="323" t="s">
        <v>2754</v>
      </c>
      <c r="P648" s="308"/>
      <c r="Q648" s="309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306" t="s">
        <v>2753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306" t="s">
        <v>2753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306" t="s">
        <v>2753</v>
      </c>
      <c r="Z648" t="str">
        <f>IFERROR(VLOOKUP(ROWS($Z$3:Z648),$X$3:$Y$992,2,0),"")</f>
        <v>Velkoobchod s hodinami, hodinkami a klenoty</v>
      </c>
    </row>
    <row r="649" spans="13:26">
      <c r="M649" s="305">
        <f>IF(ISNUMBER(SEARCH(ZAKL_DATA!$B$29,N649)),MAX($M$2:M648)+1,0)</f>
        <v>647</v>
      </c>
      <c r="N649" s="306" t="s">
        <v>2755</v>
      </c>
      <c r="O649" s="323" t="s">
        <v>2756</v>
      </c>
      <c r="P649" s="308"/>
      <c r="Q649" s="309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306" t="s">
        <v>2755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306" t="s">
        <v>2755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306" t="s">
        <v>2755</v>
      </c>
      <c r="Z649" t="str">
        <f>IFERROR(VLOOKUP(ROWS($Z$3:Z649),$X$3:$Y$992,2,0),"")</f>
        <v>Velkoobchod s ostatními výrobky převážně pro domácnost</v>
      </c>
    </row>
    <row r="650" spans="13:26">
      <c r="M650" s="305">
        <f>IF(ISNUMBER(SEARCH(ZAKL_DATA!$B$29,N650)),MAX($M$2:M649)+1,0)</f>
        <v>648</v>
      </c>
      <c r="N650" s="306" t="s">
        <v>2757</v>
      </c>
      <c r="O650" s="323" t="s">
        <v>2758</v>
      </c>
      <c r="P650" s="308"/>
      <c r="Q650" s="309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306" t="s">
        <v>2757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306" t="s">
        <v>2757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306" t="s">
        <v>2757</v>
      </c>
      <c r="Z650" t="str">
        <f>IFERROR(VLOOKUP(ROWS($Z$3:Z650),$X$3:$Y$992,2,0),"")</f>
        <v>Velkoobchod s počítači, počítačovým periferním zařízením a softwarem</v>
      </c>
    </row>
    <row r="651" spans="13:26">
      <c r="M651" s="305">
        <f>IF(ISNUMBER(SEARCH(ZAKL_DATA!$B$29,N651)),MAX($M$2:M650)+1,0)</f>
        <v>649</v>
      </c>
      <c r="N651" s="306" t="s">
        <v>2759</v>
      </c>
      <c r="O651" s="323" t="s">
        <v>2760</v>
      </c>
      <c r="P651" s="308"/>
      <c r="Q651" s="309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306" t="s">
        <v>2759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306" t="s">
        <v>2759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306" t="s">
        <v>2759</v>
      </c>
      <c r="Z651" t="str">
        <f>IFERROR(VLOOKUP(ROWS($Z$3:Z651),$X$3:$Y$992,2,0),"")</f>
        <v>Velkoobchod s elektronickým a telekomunikačním zařízením a jeho díly</v>
      </c>
    </row>
    <row r="652" spans="13:26">
      <c r="M652" s="305">
        <f>IF(ISNUMBER(SEARCH(ZAKL_DATA!$B$29,N652)),MAX($M$2:M651)+1,0)</f>
        <v>650</v>
      </c>
      <c r="N652" s="306" t="s">
        <v>2761</v>
      </c>
      <c r="O652" s="323" t="s">
        <v>2762</v>
      </c>
      <c r="P652" s="308"/>
      <c r="Q652" s="309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306" t="s">
        <v>2761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306" t="s">
        <v>2761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306" t="s">
        <v>2761</v>
      </c>
      <c r="Z652" t="str">
        <f>IFERROR(VLOOKUP(ROWS($Z$3:Z652),$X$3:$Y$992,2,0),"")</f>
        <v>Velkoobchod se zemědělskými stroji, strojním zařízením a příslušenstvím</v>
      </c>
    </row>
    <row r="653" spans="13:26">
      <c r="M653" s="305">
        <f>IF(ISNUMBER(SEARCH(ZAKL_DATA!$B$29,N653)),MAX($M$2:M652)+1,0)</f>
        <v>651</v>
      </c>
      <c r="N653" s="306" t="s">
        <v>2763</v>
      </c>
      <c r="O653" s="323" t="s">
        <v>2764</v>
      </c>
      <c r="P653" s="308"/>
      <c r="Q653" s="309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306" t="s">
        <v>2763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306" t="s">
        <v>2763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306" t="s">
        <v>2763</v>
      </c>
      <c r="Z653" t="str">
        <f>IFERROR(VLOOKUP(ROWS($Z$3:Z653),$X$3:$Y$992,2,0),"")</f>
        <v>Velkoobchod s obráběcími stroji</v>
      </c>
    </row>
    <row r="654" spans="13:26">
      <c r="M654" s="305">
        <f>IF(ISNUMBER(SEARCH(ZAKL_DATA!$B$29,N654)),MAX($M$2:M653)+1,0)</f>
        <v>652</v>
      </c>
      <c r="N654" s="306" t="s">
        <v>2765</v>
      </c>
      <c r="O654" s="323" t="s">
        <v>2766</v>
      </c>
      <c r="P654" s="308"/>
      <c r="Q654" s="309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306" t="s">
        <v>2765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306" t="s">
        <v>2765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306" t="s">
        <v>2765</v>
      </c>
      <c r="Z654" t="str">
        <f>IFERROR(VLOOKUP(ROWS($Z$3:Z654),$X$3:$Y$992,2,0),"")</f>
        <v>Velkoobchod s těžebními a stavebními stroji a zařízením</v>
      </c>
    </row>
    <row r="655" spans="13:26">
      <c r="M655" s="305">
        <f>IF(ISNUMBER(SEARCH(ZAKL_DATA!$B$29,N655)),MAX($M$2:M654)+1,0)</f>
        <v>653</v>
      </c>
      <c r="N655" s="306" t="s">
        <v>2767</v>
      </c>
      <c r="O655" s="323" t="s">
        <v>2768</v>
      </c>
      <c r="P655" s="308"/>
      <c r="Q655" s="309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306" t="s">
        <v>2767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306" t="s">
        <v>2767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306" t="s">
        <v>2767</v>
      </c>
      <c r="Z655" t="str">
        <f>IFERROR(VLOOKUP(ROWS($Z$3:Z655),$X$3:$Y$992,2,0),"")</f>
        <v>Velkoobchod se strojním zařízením pro text.průmysl,šicími a plet.stroji</v>
      </c>
    </row>
    <row r="656" spans="13:26">
      <c r="M656" s="305">
        <f>IF(ISNUMBER(SEARCH(ZAKL_DATA!$B$29,N656)),MAX($M$2:M655)+1,0)</f>
        <v>654</v>
      </c>
      <c r="N656" s="306" t="s">
        <v>2769</v>
      </c>
      <c r="O656" s="323" t="s">
        <v>2770</v>
      </c>
      <c r="P656" s="308"/>
      <c r="Q656" s="309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306" t="s">
        <v>2769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306" t="s">
        <v>2769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306" t="s">
        <v>2769</v>
      </c>
      <c r="Z656" t="str">
        <f>IFERROR(VLOOKUP(ROWS($Z$3:Z656),$X$3:$Y$992,2,0),"")</f>
        <v>Velkoobchod s kancelářským nábytkem</v>
      </c>
    </row>
    <row r="657" spans="13:26">
      <c r="M657" s="305">
        <f>IF(ISNUMBER(SEARCH(ZAKL_DATA!$B$29,N657)),MAX($M$2:M656)+1,0)</f>
        <v>655</v>
      </c>
      <c r="N657" s="306" t="s">
        <v>2771</v>
      </c>
      <c r="O657" s="323" t="s">
        <v>2772</v>
      </c>
      <c r="P657" s="308"/>
      <c r="Q657" s="309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306" t="s">
        <v>2771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306" t="s">
        <v>2771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306" t="s">
        <v>2771</v>
      </c>
      <c r="Z657" t="str">
        <f>IFERROR(VLOOKUP(ROWS($Z$3:Z657),$X$3:$Y$992,2,0),"")</f>
        <v>Velkoobchod s ostatními kancelářskými stroji a zařízením</v>
      </c>
    </row>
    <row r="658" spans="13:26">
      <c r="M658" s="305">
        <f>IF(ISNUMBER(SEARCH(ZAKL_DATA!$B$29,N658)),MAX($M$2:M657)+1,0)</f>
        <v>656</v>
      </c>
      <c r="N658" s="306" t="s">
        <v>2773</v>
      </c>
      <c r="O658" s="323" t="s">
        <v>2774</v>
      </c>
      <c r="P658" s="308"/>
      <c r="Q658" s="309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306" t="s">
        <v>2773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306" t="s">
        <v>2773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306" t="s">
        <v>2773</v>
      </c>
      <c r="Z658" t="str">
        <f>IFERROR(VLOOKUP(ROWS($Z$3:Z658),$X$3:$Y$992,2,0),"")</f>
        <v>Velkoobchod s ostatními stroji a zařízením</v>
      </c>
    </row>
    <row r="659" spans="13:26">
      <c r="M659" s="305">
        <f>IF(ISNUMBER(SEARCH(ZAKL_DATA!$B$29,N659)),MAX($M$2:M658)+1,0)</f>
        <v>657</v>
      </c>
      <c r="N659" s="306" t="s">
        <v>2775</v>
      </c>
      <c r="O659" s="323" t="s">
        <v>2776</v>
      </c>
      <c r="P659" s="308"/>
      <c r="Q659" s="309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306" t="s">
        <v>2775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306" t="s">
        <v>2775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306" t="s">
        <v>2775</v>
      </c>
      <c r="Z659" t="str">
        <f>IFERROR(VLOOKUP(ROWS($Z$3:Z659),$X$3:$Y$992,2,0),"")</f>
        <v>Velkoobchod s pevnými, kapalnými a plynnými palivy a příbuznými výrobky</v>
      </c>
    </row>
    <row r="660" spans="13:26">
      <c r="M660" s="305">
        <f>IF(ISNUMBER(SEARCH(ZAKL_DATA!$B$29,N660)),MAX($M$2:M659)+1,0)</f>
        <v>658</v>
      </c>
      <c r="N660" s="306" t="s">
        <v>2777</v>
      </c>
      <c r="O660" s="323" t="s">
        <v>2778</v>
      </c>
      <c r="P660" s="308"/>
      <c r="Q660" s="309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306" t="s">
        <v>2777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306" t="s">
        <v>2777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306" t="s">
        <v>2777</v>
      </c>
      <c r="Z660" t="str">
        <f>IFERROR(VLOOKUP(ROWS($Z$3:Z660),$X$3:$Y$992,2,0),"")</f>
        <v>Velkoobchod s rudami, kovy a hutními výrobky</v>
      </c>
    </row>
    <row r="661" spans="13:26">
      <c r="M661" s="305">
        <f>IF(ISNUMBER(SEARCH(ZAKL_DATA!$B$29,N661)),MAX($M$2:M660)+1,0)</f>
        <v>659</v>
      </c>
      <c r="N661" s="306" t="s">
        <v>2779</v>
      </c>
      <c r="O661" s="323" t="s">
        <v>2780</v>
      </c>
      <c r="P661" s="308"/>
      <c r="Q661" s="309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306" t="s">
        <v>2779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306" t="s">
        <v>2779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306" t="s">
        <v>2779</v>
      </c>
      <c r="Z661" t="str">
        <f>IFERROR(VLOOKUP(ROWS($Z$3:Z661),$X$3:$Y$992,2,0),"")</f>
        <v>Velkoobchod se dřevem, stavebními materiály a sanitárním vybavením</v>
      </c>
    </row>
    <row r="662" spans="13:26">
      <c r="M662" s="305">
        <f>IF(ISNUMBER(SEARCH(ZAKL_DATA!$B$29,N662)),MAX($M$2:M661)+1,0)</f>
        <v>660</v>
      </c>
      <c r="N662" s="306" t="s">
        <v>2781</v>
      </c>
      <c r="O662" s="323" t="s">
        <v>2782</v>
      </c>
      <c r="P662" s="308"/>
      <c r="Q662" s="309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306" t="s">
        <v>2781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306" t="s">
        <v>2781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306" t="s">
        <v>2781</v>
      </c>
      <c r="Z662" t="str">
        <f>IFERROR(VLOOKUP(ROWS($Z$3:Z662),$X$3:$Y$992,2,0),"")</f>
        <v>Velkoobchod s železářským zbožím,instalatér.a topenářskými potřebami</v>
      </c>
    </row>
    <row r="663" spans="13:26">
      <c r="M663" s="305">
        <f>IF(ISNUMBER(SEARCH(ZAKL_DATA!$B$29,N663)),MAX($M$2:M662)+1,0)</f>
        <v>661</v>
      </c>
      <c r="N663" s="306" t="s">
        <v>2783</v>
      </c>
      <c r="O663" s="323" t="s">
        <v>2784</v>
      </c>
      <c r="P663" s="308"/>
      <c r="Q663" s="309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306" t="s">
        <v>2783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306" t="s">
        <v>2783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306" t="s">
        <v>2783</v>
      </c>
      <c r="Z663" t="str">
        <f>IFERROR(VLOOKUP(ROWS($Z$3:Z663),$X$3:$Y$992,2,0),"")</f>
        <v>Velkoobchod s chemickými výrobky</v>
      </c>
    </row>
    <row r="664" spans="13:26">
      <c r="M664" s="305">
        <f>IF(ISNUMBER(SEARCH(ZAKL_DATA!$B$29,N664)),MAX($M$2:M663)+1,0)</f>
        <v>662</v>
      </c>
      <c r="N664" s="306" t="s">
        <v>2785</v>
      </c>
      <c r="O664" s="323" t="s">
        <v>2786</v>
      </c>
      <c r="P664" s="308"/>
      <c r="Q664" s="309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306" t="s">
        <v>2785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306" t="s">
        <v>2785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306" t="s">
        <v>2785</v>
      </c>
      <c r="Z664" t="str">
        <f>IFERROR(VLOOKUP(ROWS($Z$3:Z664),$X$3:$Y$992,2,0),"")</f>
        <v>Velkoobchod s ostatními meziprodukty</v>
      </c>
    </row>
    <row r="665" spans="13:26">
      <c r="M665" s="305">
        <f>IF(ISNUMBER(SEARCH(ZAKL_DATA!$B$29,N665)),MAX($M$2:M664)+1,0)</f>
        <v>663</v>
      </c>
      <c r="N665" s="306" t="s">
        <v>2787</v>
      </c>
      <c r="O665" s="323" t="s">
        <v>2788</v>
      </c>
      <c r="P665" s="308"/>
      <c r="Q665" s="309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306" t="s">
        <v>2787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306" t="s">
        <v>2787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306" t="s">
        <v>2787</v>
      </c>
      <c r="Z665" t="str">
        <f>IFERROR(VLOOKUP(ROWS($Z$3:Z665),$X$3:$Y$992,2,0),"")</f>
        <v>Velkoobchod s odpadem a šrotem</v>
      </c>
    </row>
    <row r="666" spans="13:26">
      <c r="M666" s="305">
        <f>IF(ISNUMBER(SEARCH(ZAKL_DATA!$B$29,N666)),MAX($M$2:M665)+1,0)</f>
        <v>664</v>
      </c>
      <c r="N666" s="306" t="s">
        <v>2789</v>
      </c>
      <c r="O666" s="323" t="s">
        <v>2790</v>
      </c>
      <c r="P666" s="308"/>
      <c r="Q666" s="309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306" t="s">
        <v>2789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306" t="s">
        <v>2789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306" t="s">
        <v>2789</v>
      </c>
      <c r="Z666" t="str">
        <f>IFERROR(VLOOKUP(ROWS($Z$3:Z666),$X$3:$Y$992,2,0),"")</f>
        <v>Maloobchod s převahou potravin,nápojů a tabák.výrobků v nespecializ.prod.</v>
      </c>
    </row>
    <row r="667" spans="13:26">
      <c r="M667" s="305">
        <f>IF(ISNUMBER(SEARCH(ZAKL_DATA!$B$29,N667)),MAX($M$2:M666)+1,0)</f>
        <v>665</v>
      </c>
      <c r="N667" s="306" t="s">
        <v>2791</v>
      </c>
      <c r="O667" s="323" t="s">
        <v>2792</v>
      </c>
      <c r="P667" s="308"/>
      <c r="Q667" s="309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306" t="s">
        <v>2791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306" t="s">
        <v>2791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306" t="s">
        <v>2791</v>
      </c>
      <c r="Z667" t="str">
        <f>IFERROR(VLOOKUP(ROWS($Z$3:Z667),$X$3:$Y$992,2,0),"")</f>
        <v>Ostatní maloobchod v nespecializovaných prodejnách</v>
      </c>
    </row>
    <row r="668" spans="13:26">
      <c r="M668" s="305">
        <f>IF(ISNUMBER(SEARCH(ZAKL_DATA!$B$29,N668)),MAX($M$2:M667)+1,0)</f>
        <v>666</v>
      </c>
      <c r="N668" s="306" t="s">
        <v>2793</v>
      </c>
      <c r="O668" s="323" t="s">
        <v>2794</v>
      </c>
      <c r="P668" s="308"/>
      <c r="Q668" s="309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306" t="s">
        <v>2793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306" t="s">
        <v>2793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306" t="s">
        <v>2793</v>
      </c>
      <c r="Z668" t="str">
        <f>IFERROR(VLOOKUP(ROWS($Z$3:Z668),$X$3:$Y$992,2,0),"")</f>
        <v>Maloobchod s ovocem a zeleninou</v>
      </c>
    </row>
    <row r="669" spans="13:26">
      <c r="M669" s="305">
        <f>IF(ISNUMBER(SEARCH(ZAKL_DATA!$B$29,N669)),MAX($M$2:M668)+1,0)</f>
        <v>667</v>
      </c>
      <c r="N669" s="306" t="s">
        <v>2795</v>
      </c>
      <c r="O669" s="323" t="s">
        <v>2796</v>
      </c>
      <c r="P669" s="308"/>
      <c r="Q669" s="309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306" t="s">
        <v>2795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306" t="s">
        <v>2795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306" t="s">
        <v>2795</v>
      </c>
      <c r="Z669" t="str">
        <f>IFERROR(VLOOKUP(ROWS($Z$3:Z669),$X$3:$Y$992,2,0),"")</f>
        <v>Maloobchod s masem a masnými výrobky</v>
      </c>
    </row>
    <row r="670" spans="13:26">
      <c r="M670" s="305">
        <f>IF(ISNUMBER(SEARCH(ZAKL_DATA!$B$29,N670)),MAX($M$2:M669)+1,0)</f>
        <v>668</v>
      </c>
      <c r="N670" s="306" t="s">
        <v>2797</v>
      </c>
      <c r="O670" s="323" t="s">
        <v>2798</v>
      </c>
      <c r="P670" s="308"/>
      <c r="Q670" s="309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306" t="s">
        <v>2797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306" t="s">
        <v>2797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306" t="s">
        <v>2797</v>
      </c>
      <c r="Z670" t="str">
        <f>IFERROR(VLOOKUP(ROWS($Z$3:Z670),$X$3:$Y$992,2,0),"")</f>
        <v>Maloobchod s rybami, korýši a měkkýši</v>
      </c>
    </row>
    <row r="671" spans="13:26">
      <c r="M671" s="305">
        <f>IF(ISNUMBER(SEARCH(ZAKL_DATA!$B$29,N671)),MAX($M$2:M670)+1,0)</f>
        <v>669</v>
      </c>
      <c r="N671" s="306" t="s">
        <v>2799</v>
      </c>
      <c r="O671" s="323" t="s">
        <v>2800</v>
      </c>
      <c r="P671" s="308"/>
      <c r="Q671" s="309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306" t="s">
        <v>2799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306" t="s">
        <v>2799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306" t="s">
        <v>2799</v>
      </c>
      <c r="Z671" t="str">
        <f>IFERROR(VLOOKUP(ROWS($Z$3:Z671),$X$3:$Y$992,2,0),"")</f>
        <v>Maloobchod s chlebem, pečivem, cukrářskými výrobky a cukrovinkami</v>
      </c>
    </row>
    <row r="672" spans="13:26">
      <c r="M672" s="305">
        <f>IF(ISNUMBER(SEARCH(ZAKL_DATA!$B$29,N672)),MAX($M$2:M671)+1,0)</f>
        <v>670</v>
      </c>
      <c r="N672" s="306" t="s">
        <v>2801</v>
      </c>
      <c r="O672" s="323" t="s">
        <v>2802</v>
      </c>
      <c r="P672" s="308"/>
      <c r="Q672" s="309" t="str">
        <f>IFERROR(VLOOKUP(ROWS($Q$3:Q672),$M$3:$N$992,2,0),"")</f>
        <v>Maloobchod s nápoji</v>
      </c>
      <c r="R672">
        <f>IF(ISNUMBER(SEARCH('1Př1'!$A$32,N672)),MAX($M$2:M671)+1,0)</f>
        <v>670</v>
      </c>
      <c r="S672" s="306" t="s">
        <v>2801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306" t="s">
        <v>2801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306" t="s">
        <v>2801</v>
      </c>
      <c r="Z672" t="str">
        <f>IFERROR(VLOOKUP(ROWS($Z$3:Z672),$X$3:$Y$992,2,0),"")</f>
        <v>Maloobchod s nápoji</v>
      </c>
    </row>
    <row r="673" spans="13:26">
      <c r="M673" s="305">
        <f>IF(ISNUMBER(SEARCH(ZAKL_DATA!$B$29,N673)),MAX($M$2:M672)+1,0)</f>
        <v>671</v>
      </c>
      <c r="N673" s="306" t="s">
        <v>2803</v>
      </c>
      <c r="O673" s="323" t="s">
        <v>2804</v>
      </c>
      <c r="P673" s="308"/>
      <c r="Q673" s="309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306" t="s">
        <v>2803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306" t="s">
        <v>2803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306" t="s">
        <v>2803</v>
      </c>
      <c r="Z673" t="str">
        <f>IFERROR(VLOOKUP(ROWS($Z$3:Z673),$X$3:$Y$992,2,0),"")</f>
        <v>Maloobchod s tabákovými výrobky</v>
      </c>
    </row>
    <row r="674" spans="13:26">
      <c r="M674" s="305">
        <f>IF(ISNUMBER(SEARCH(ZAKL_DATA!$B$29,N674)),MAX($M$2:M673)+1,0)</f>
        <v>672</v>
      </c>
      <c r="N674" s="306" t="s">
        <v>2805</v>
      </c>
      <c r="O674" s="323" t="s">
        <v>2806</v>
      </c>
      <c r="P674" s="308"/>
      <c r="Q674" s="309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306" t="s">
        <v>2805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306" t="s">
        <v>2805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306" t="s">
        <v>2805</v>
      </c>
      <c r="Z674" t="str">
        <f>IFERROR(VLOOKUP(ROWS($Z$3:Z674),$X$3:$Y$992,2,0),"")</f>
        <v>Ostatní maloobchod s potravinami ve specializovaných prodejnách</v>
      </c>
    </row>
    <row r="675" spans="13:26">
      <c r="M675" s="305">
        <f>IF(ISNUMBER(SEARCH(ZAKL_DATA!$B$29,N675)),MAX($M$2:M674)+1,0)</f>
        <v>673</v>
      </c>
      <c r="N675" s="306" t="s">
        <v>2807</v>
      </c>
      <c r="O675" s="323" t="s">
        <v>2808</v>
      </c>
      <c r="P675" s="308"/>
      <c r="Q675" s="309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306" t="s">
        <v>2807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306" t="s">
        <v>2807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306" t="s">
        <v>2807</v>
      </c>
      <c r="Z675" t="str">
        <f>IFERROR(VLOOKUP(ROWS($Z$3:Z675),$X$3:$Y$992,2,0),"")</f>
        <v>Maloobchod s počítači, počítačovým periferním zařízením a softwarem</v>
      </c>
    </row>
    <row r="676" spans="13:26">
      <c r="M676" s="305">
        <f>IF(ISNUMBER(SEARCH(ZAKL_DATA!$B$29,N676)),MAX($M$2:M675)+1,0)</f>
        <v>674</v>
      </c>
      <c r="N676" s="306" t="s">
        <v>2809</v>
      </c>
      <c r="O676" s="323" t="s">
        <v>2810</v>
      </c>
      <c r="P676" s="308"/>
      <c r="Q676" s="309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306" t="s">
        <v>2809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306" t="s">
        <v>2809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306" t="s">
        <v>2809</v>
      </c>
      <c r="Z676" t="str">
        <f>IFERROR(VLOOKUP(ROWS($Z$3:Z676),$X$3:$Y$992,2,0),"")</f>
        <v>Maloobchod s telekomunikačním zařízením</v>
      </c>
    </row>
    <row r="677" spans="13:26">
      <c r="M677" s="305">
        <f>IF(ISNUMBER(SEARCH(ZAKL_DATA!$B$29,N677)),MAX($M$2:M676)+1,0)</f>
        <v>675</v>
      </c>
      <c r="N677" s="306" t="s">
        <v>2811</v>
      </c>
      <c r="O677" s="323" t="s">
        <v>2812</v>
      </c>
      <c r="P677" s="308"/>
      <c r="Q677" s="309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306" t="s">
        <v>2811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306" t="s">
        <v>2811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306" t="s">
        <v>2811</v>
      </c>
      <c r="Z677" t="str">
        <f>IFERROR(VLOOKUP(ROWS($Z$3:Z677),$X$3:$Y$992,2,0),"")</f>
        <v>Maloobchod s audio- a videozařízením</v>
      </c>
    </row>
    <row r="678" spans="13:26">
      <c r="M678" s="305">
        <f>IF(ISNUMBER(SEARCH(ZAKL_DATA!$B$29,N678)),MAX($M$2:M677)+1,0)</f>
        <v>676</v>
      </c>
      <c r="N678" s="306" t="s">
        <v>2813</v>
      </c>
      <c r="O678" s="323" t="s">
        <v>2814</v>
      </c>
      <c r="P678" s="308"/>
      <c r="Q678" s="309" t="str">
        <f>IFERROR(VLOOKUP(ROWS($Q$3:Q678),$M$3:$N$992,2,0),"")</f>
        <v>Maloobchod s textilem</v>
      </c>
      <c r="R678">
        <f>IF(ISNUMBER(SEARCH('1Př1'!$A$32,N678)),MAX($M$2:M677)+1,0)</f>
        <v>676</v>
      </c>
      <c r="S678" s="306" t="s">
        <v>2813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306" t="s">
        <v>2813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306" t="s">
        <v>2813</v>
      </c>
      <c r="Z678" t="str">
        <f>IFERROR(VLOOKUP(ROWS($Z$3:Z678),$X$3:$Y$992,2,0),"")</f>
        <v>Maloobchod s textilem</v>
      </c>
    </row>
    <row r="679" spans="13:26">
      <c r="M679" s="305">
        <f>IF(ISNUMBER(SEARCH(ZAKL_DATA!$B$29,N679)),MAX($M$2:M678)+1,0)</f>
        <v>677</v>
      </c>
      <c r="N679" s="306" t="s">
        <v>2815</v>
      </c>
      <c r="O679" s="323" t="s">
        <v>2816</v>
      </c>
      <c r="P679" s="308"/>
      <c r="Q679" s="309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306" t="s">
        <v>2815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306" t="s">
        <v>2815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306" t="s">
        <v>2815</v>
      </c>
      <c r="Z679" t="str">
        <f>IFERROR(VLOOKUP(ROWS($Z$3:Z679),$X$3:$Y$992,2,0),"")</f>
        <v>Maloobchod s železářským zbožím, barvami, sklem a potřebami pro kutily</v>
      </c>
    </row>
    <row r="680" spans="13:26">
      <c r="M680" s="305">
        <f>IF(ISNUMBER(SEARCH(ZAKL_DATA!$B$29,N680)),MAX($M$2:M679)+1,0)</f>
        <v>678</v>
      </c>
      <c r="N680" s="306" t="s">
        <v>2817</v>
      </c>
      <c r="O680" s="323" t="s">
        <v>2818</v>
      </c>
      <c r="P680" s="308"/>
      <c r="Q680" s="309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306" t="s">
        <v>2817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306" t="s">
        <v>2817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306" t="s">
        <v>2817</v>
      </c>
      <c r="Z680" t="str">
        <f>IFERROR(VLOOKUP(ROWS($Z$3:Z680),$X$3:$Y$992,2,0),"")</f>
        <v>Maloobchod s koberci, podlahovými krytinami a nástěnnými obklady</v>
      </c>
    </row>
    <row r="681" spans="13:26">
      <c r="M681" s="305">
        <f>IF(ISNUMBER(SEARCH(ZAKL_DATA!$B$29,N681)),MAX($M$2:M680)+1,0)</f>
        <v>679</v>
      </c>
      <c r="N681" s="306" t="s">
        <v>2819</v>
      </c>
      <c r="O681" s="323" t="s">
        <v>2820</v>
      </c>
      <c r="P681" s="308"/>
      <c r="Q681" s="309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306" t="s">
        <v>2819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306" t="s">
        <v>2819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306" t="s">
        <v>2819</v>
      </c>
      <c r="Z681" t="str">
        <f>IFERROR(VLOOKUP(ROWS($Z$3:Z681),$X$3:$Y$992,2,0),"")</f>
        <v>Maloobchod s elektrospotřebiči a elektronikou</v>
      </c>
    </row>
    <row r="682" spans="13:26">
      <c r="M682" s="305">
        <f>IF(ISNUMBER(SEARCH(ZAKL_DATA!$B$29,N682)),MAX($M$2:M681)+1,0)</f>
        <v>680</v>
      </c>
      <c r="N682" s="306" t="s">
        <v>2821</v>
      </c>
      <c r="O682" s="323" t="s">
        <v>2822</v>
      </c>
      <c r="P682" s="308"/>
      <c r="Q682" s="309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306" t="s">
        <v>2821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306" t="s">
        <v>2821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306" t="s">
        <v>2821</v>
      </c>
      <c r="Z682" t="str">
        <f>IFERROR(VLOOKUP(ROWS($Z$3:Z682),$X$3:$Y$992,2,0),"")</f>
        <v>Maloobchod s nábytkem,svítidly a ost.výr.přev.pro dom.ve specializ.prod.</v>
      </c>
    </row>
    <row r="683" spans="13:26">
      <c r="M683" s="305">
        <f>IF(ISNUMBER(SEARCH(ZAKL_DATA!$B$29,N683)),MAX($M$2:M682)+1,0)</f>
        <v>681</v>
      </c>
      <c r="N683" s="306" t="s">
        <v>2823</v>
      </c>
      <c r="O683" s="323" t="s">
        <v>2824</v>
      </c>
      <c r="P683" s="308"/>
      <c r="Q683" s="309" t="str">
        <f>IFERROR(VLOOKUP(ROWS($Q$3:Q683),$M$3:$N$992,2,0),"")</f>
        <v>Maloobchod s knihami</v>
      </c>
      <c r="R683">
        <f>IF(ISNUMBER(SEARCH('1Př1'!$A$32,N683)),MAX($M$2:M682)+1,0)</f>
        <v>681</v>
      </c>
      <c r="S683" s="306" t="s">
        <v>2823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306" t="s">
        <v>2823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306" t="s">
        <v>2823</v>
      </c>
      <c r="Z683" t="str">
        <f>IFERROR(VLOOKUP(ROWS($Z$3:Z683),$X$3:$Y$992,2,0),"")</f>
        <v>Maloobchod s knihami</v>
      </c>
    </row>
    <row r="684" spans="13:26">
      <c r="M684" s="305">
        <f>IF(ISNUMBER(SEARCH(ZAKL_DATA!$B$29,N684)),MAX($M$2:M683)+1,0)</f>
        <v>682</v>
      </c>
      <c r="N684" s="306" t="s">
        <v>2825</v>
      </c>
      <c r="O684" s="323" t="s">
        <v>2826</v>
      </c>
      <c r="P684" s="308"/>
      <c r="Q684" s="309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306" t="s">
        <v>2825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306" t="s">
        <v>2825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306" t="s">
        <v>2825</v>
      </c>
      <c r="Z684" t="str">
        <f>IFERROR(VLOOKUP(ROWS($Z$3:Z684),$X$3:$Y$992,2,0),"")</f>
        <v>Maloobchod s novinami, časopisy a papírnickým zbožím</v>
      </c>
    </row>
    <row r="685" spans="13:26">
      <c r="M685" s="305">
        <f>IF(ISNUMBER(SEARCH(ZAKL_DATA!$B$29,N685)),MAX($M$2:M684)+1,0)</f>
        <v>683</v>
      </c>
      <c r="N685" s="306" t="s">
        <v>2827</v>
      </c>
      <c r="O685" s="323" t="s">
        <v>2828</v>
      </c>
      <c r="P685" s="308"/>
      <c r="Q685" s="309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306" t="s">
        <v>2827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306" t="s">
        <v>2827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306" t="s">
        <v>2827</v>
      </c>
      <c r="Z685" t="str">
        <f>IFERROR(VLOOKUP(ROWS($Z$3:Z685),$X$3:$Y$992,2,0),"")</f>
        <v>Maloobchod s audio- a videozáznamy</v>
      </c>
    </row>
    <row r="686" spans="13:26">
      <c r="M686" s="305">
        <f>IF(ISNUMBER(SEARCH(ZAKL_DATA!$B$29,N686)),MAX($M$2:M685)+1,0)</f>
        <v>684</v>
      </c>
      <c r="N686" s="306" t="s">
        <v>2829</v>
      </c>
      <c r="O686" s="323" t="s">
        <v>2830</v>
      </c>
      <c r="P686" s="308"/>
      <c r="Q686" s="309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306" t="s">
        <v>2829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306" t="s">
        <v>2829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306" t="s">
        <v>2829</v>
      </c>
      <c r="Z686" t="str">
        <f>IFERROR(VLOOKUP(ROWS($Z$3:Z686),$X$3:$Y$992,2,0),"")</f>
        <v>Maloobchod se sportovním vybavením</v>
      </c>
    </row>
    <row r="687" spans="13:26">
      <c r="M687" s="305">
        <f>IF(ISNUMBER(SEARCH(ZAKL_DATA!$B$29,N687)),MAX($M$2:M686)+1,0)</f>
        <v>685</v>
      </c>
      <c r="N687" s="306" t="s">
        <v>2831</v>
      </c>
      <c r="O687" s="323" t="s">
        <v>2832</v>
      </c>
      <c r="P687" s="308"/>
      <c r="Q687" s="309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306" t="s">
        <v>2831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306" t="s">
        <v>2831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306" t="s">
        <v>2831</v>
      </c>
      <c r="Z687" t="str">
        <f>IFERROR(VLOOKUP(ROWS($Z$3:Z687),$X$3:$Y$992,2,0),"")</f>
        <v>Maloobchod s hrami a hračkami</v>
      </c>
    </row>
    <row r="688" spans="13:26">
      <c r="M688" s="305">
        <f>IF(ISNUMBER(SEARCH(ZAKL_DATA!$B$29,N688)),MAX($M$2:M687)+1,0)</f>
        <v>686</v>
      </c>
      <c r="N688" s="306" t="s">
        <v>2833</v>
      </c>
      <c r="O688" s="323" t="s">
        <v>2834</v>
      </c>
      <c r="P688" s="308"/>
      <c r="Q688" s="309" t="str">
        <f>IFERROR(VLOOKUP(ROWS($Q$3:Q688),$M$3:$N$992,2,0),"")</f>
        <v>Maloobchod s oděvy</v>
      </c>
      <c r="R688">
        <f>IF(ISNUMBER(SEARCH('1Př1'!$A$32,N688)),MAX($M$2:M687)+1,0)</f>
        <v>686</v>
      </c>
      <c r="S688" s="306" t="s">
        <v>2833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306" t="s">
        <v>2833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306" t="s">
        <v>2833</v>
      </c>
      <c r="Z688" t="str">
        <f>IFERROR(VLOOKUP(ROWS($Z$3:Z688),$X$3:$Y$992,2,0),"")</f>
        <v>Maloobchod s oděvy</v>
      </c>
    </row>
    <row r="689" spans="13:26">
      <c r="M689" s="305">
        <f>IF(ISNUMBER(SEARCH(ZAKL_DATA!$B$29,N689)),MAX($M$2:M688)+1,0)</f>
        <v>687</v>
      </c>
      <c r="N689" s="306" t="s">
        <v>2835</v>
      </c>
      <c r="O689" s="323" t="s">
        <v>2836</v>
      </c>
      <c r="P689" s="308"/>
      <c r="Q689" s="309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306" t="s">
        <v>2835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306" t="s">
        <v>2835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306" t="s">
        <v>2835</v>
      </c>
      <c r="Z689" t="str">
        <f>IFERROR(VLOOKUP(ROWS($Z$3:Z689),$X$3:$Y$992,2,0),"")</f>
        <v>Maloobchod s obuví a koženými výrobky</v>
      </c>
    </row>
    <row r="690" spans="13:26">
      <c r="M690" s="305">
        <f>IF(ISNUMBER(SEARCH(ZAKL_DATA!$B$29,N690)),MAX($M$2:M689)+1,0)</f>
        <v>688</v>
      </c>
      <c r="N690" s="306" t="s">
        <v>2837</v>
      </c>
      <c r="O690" s="323" t="s">
        <v>2838</v>
      </c>
      <c r="P690" s="308"/>
      <c r="Q690" s="309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306" t="s">
        <v>2837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306" t="s">
        <v>2837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306" t="s">
        <v>2837</v>
      </c>
      <c r="Z690" t="str">
        <f>IFERROR(VLOOKUP(ROWS($Z$3:Z690),$X$3:$Y$992,2,0),"")</f>
        <v>Maloobchod s farmaceutickými přípravky</v>
      </c>
    </row>
    <row r="691" spans="13:26">
      <c r="M691" s="305">
        <f>IF(ISNUMBER(SEARCH(ZAKL_DATA!$B$29,N691)),MAX($M$2:M690)+1,0)</f>
        <v>689</v>
      </c>
      <c r="N691" s="306" t="s">
        <v>2839</v>
      </c>
      <c r="O691" s="323" t="s">
        <v>2840</v>
      </c>
      <c r="P691" s="308"/>
      <c r="Q691" s="309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306" t="s">
        <v>2839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306" t="s">
        <v>2839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306" t="s">
        <v>2839</v>
      </c>
      <c r="Z691" t="str">
        <f>IFERROR(VLOOKUP(ROWS($Z$3:Z691),$X$3:$Y$992,2,0),"")</f>
        <v>Maloobchod se zdravotnickými a ortopedickými výrobky</v>
      </c>
    </row>
    <row r="692" spans="13:26">
      <c r="M692" s="305">
        <f>IF(ISNUMBER(SEARCH(ZAKL_DATA!$B$29,N692)),MAX($M$2:M691)+1,0)</f>
        <v>690</v>
      </c>
      <c r="N692" s="306" t="s">
        <v>2841</v>
      </c>
      <c r="O692" s="323" t="s">
        <v>2842</v>
      </c>
      <c r="P692" s="308"/>
      <c r="Q692" s="309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306" t="s">
        <v>2841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306" t="s">
        <v>2841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306" t="s">
        <v>2841</v>
      </c>
      <c r="Z692" t="str">
        <f>IFERROR(VLOOKUP(ROWS($Z$3:Z692),$X$3:$Y$992,2,0),"")</f>
        <v>Maloobchod s kosmetickými a toaletními výrobky</v>
      </c>
    </row>
    <row r="693" spans="13:26">
      <c r="M693" s="305">
        <f>IF(ISNUMBER(SEARCH(ZAKL_DATA!$B$29,N693)),MAX($M$2:M692)+1,0)</f>
        <v>691</v>
      </c>
      <c r="N693" s="306" t="s">
        <v>2843</v>
      </c>
      <c r="O693" s="323" t="s">
        <v>2844</v>
      </c>
      <c r="P693" s="308"/>
      <c r="Q693" s="309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306" t="s">
        <v>2843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306" t="s">
        <v>2843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306" t="s">
        <v>2843</v>
      </c>
      <c r="Z693" t="str">
        <f>IFERROR(VLOOKUP(ROWS($Z$3:Z693),$X$3:$Y$992,2,0),"")</f>
        <v>Maloob.s květinami,rostl.,osivy,hnoj.,zvířaty pro záj.chov a krmivy pro ně</v>
      </c>
    </row>
    <row r="694" spans="13:26">
      <c r="M694" s="305">
        <f>IF(ISNUMBER(SEARCH(ZAKL_DATA!$B$29,N694)),MAX($M$2:M693)+1,0)</f>
        <v>692</v>
      </c>
      <c r="N694" s="306" t="s">
        <v>2845</v>
      </c>
      <c r="O694" s="323" t="s">
        <v>2846</v>
      </c>
      <c r="P694" s="308"/>
      <c r="Q694" s="309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306" t="s">
        <v>2845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306" t="s">
        <v>2845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306" t="s">
        <v>2845</v>
      </c>
      <c r="Z694" t="str">
        <f>IFERROR(VLOOKUP(ROWS($Z$3:Z694),$X$3:$Y$992,2,0),"")</f>
        <v>Maloobchod s hodinami, hodinkami a klenoty</v>
      </c>
    </row>
    <row r="695" spans="13:26">
      <c r="M695" s="305">
        <f>IF(ISNUMBER(SEARCH(ZAKL_DATA!$B$29,N695)),MAX($M$2:M694)+1,0)</f>
        <v>693</v>
      </c>
      <c r="N695" s="306" t="s">
        <v>2847</v>
      </c>
      <c r="O695" s="323" t="s">
        <v>2848</v>
      </c>
      <c r="P695" s="308"/>
      <c r="Q695" s="309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306" t="s">
        <v>2847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306" t="s">
        <v>2847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306" t="s">
        <v>2847</v>
      </c>
      <c r="Z695" t="str">
        <f>IFERROR(VLOOKUP(ROWS($Z$3:Z695),$X$3:$Y$992,2,0),"")</f>
        <v>Ostatní maloobchod s novým zbožím ve specializovaných prodejnách</v>
      </c>
    </row>
    <row r="696" spans="13:26">
      <c r="M696" s="305">
        <f>IF(ISNUMBER(SEARCH(ZAKL_DATA!$B$29,N696)),MAX($M$2:M695)+1,0)</f>
        <v>694</v>
      </c>
      <c r="N696" s="306" t="s">
        <v>2849</v>
      </c>
      <c r="O696" s="323" t="s">
        <v>2850</v>
      </c>
      <c r="P696" s="308"/>
      <c r="Q696" s="309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306" t="s">
        <v>2849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306" t="s">
        <v>2849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306" t="s">
        <v>2849</v>
      </c>
      <c r="Z696" t="str">
        <f>IFERROR(VLOOKUP(ROWS($Z$3:Z696),$X$3:$Y$992,2,0),"")</f>
        <v>Maloobchod s použitým zbožím v prodejnách</v>
      </c>
    </row>
    <row r="697" spans="13:26">
      <c r="M697" s="305">
        <f>IF(ISNUMBER(SEARCH(ZAKL_DATA!$B$29,N697)),MAX($M$2:M696)+1,0)</f>
        <v>695</v>
      </c>
      <c r="N697" s="306" t="s">
        <v>2851</v>
      </c>
      <c r="O697" s="323" t="s">
        <v>2852</v>
      </c>
      <c r="P697" s="308"/>
      <c r="Q697" s="309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306" t="s">
        <v>2851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306" t="s">
        <v>2851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306" t="s">
        <v>2851</v>
      </c>
      <c r="Z697" t="str">
        <f>IFERROR(VLOOKUP(ROWS($Z$3:Z697),$X$3:$Y$992,2,0),"")</f>
        <v>Maloobchod s potravinami,nápoji a tabák.výrobky ve stáncích a na trzích</v>
      </c>
    </row>
    <row r="698" spans="13:26">
      <c r="M698" s="305">
        <f>IF(ISNUMBER(SEARCH(ZAKL_DATA!$B$29,N698)),MAX($M$2:M697)+1,0)</f>
        <v>696</v>
      </c>
      <c r="N698" s="306" t="s">
        <v>2853</v>
      </c>
      <c r="O698" s="323" t="s">
        <v>2854</v>
      </c>
      <c r="P698" s="308"/>
      <c r="Q698" s="309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306" t="s">
        <v>2853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306" t="s">
        <v>2853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306" t="s">
        <v>2853</v>
      </c>
      <c r="Z698" t="str">
        <f>IFERROR(VLOOKUP(ROWS($Z$3:Z698),$X$3:$Y$992,2,0),"")</f>
        <v>Maloobchod s textilem, oděvy a obuví ve stáncích a na trzích</v>
      </c>
    </row>
    <row r="699" spans="13:26">
      <c r="M699" s="305">
        <f>IF(ISNUMBER(SEARCH(ZAKL_DATA!$B$29,N699)),MAX($M$2:M698)+1,0)</f>
        <v>697</v>
      </c>
      <c r="N699" s="306" t="s">
        <v>2855</v>
      </c>
      <c r="O699" s="323" t="s">
        <v>2856</v>
      </c>
      <c r="P699" s="308"/>
      <c r="Q699" s="309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306" t="s">
        <v>2855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306" t="s">
        <v>2855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306" t="s">
        <v>2855</v>
      </c>
      <c r="Z699" t="str">
        <f>IFERROR(VLOOKUP(ROWS($Z$3:Z699),$X$3:$Y$992,2,0),"")</f>
        <v>Maloobchod s ostatním zbožím ve stáncích a na trzích</v>
      </c>
    </row>
    <row r="700" spans="13:26">
      <c r="M700" s="305">
        <f>IF(ISNUMBER(SEARCH(ZAKL_DATA!$B$29,N700)),MAX($M$2:M699)+1,0)</f>
        <v>698</v>
      </c>
      <c r="N700" s="306" t="s">
        <v>2857</v>
      </c>
      <c r="O700" s="323" t="s">
        <v>2858</v>
      </c>
      <c r="P700" s="308"/>
      <c r="Q700" s="309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306" t="s">
        <v>2857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306" t="s">
        <v>2857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306" t="s">
        <v>2857</v>
      </c>
      <c r="Z700" t="str">
        <f>IFERROR(VLOOKUP(ROWS($Z$3:Z700),$X$3:$Y$992,2,0),"")</f>
        <v>Maloobchod prostřednictvím internetu nebo zásilkové služby</v>
      </c>
    </row>
    <row r="701" spans="13:26">
      <c r="M701" s="305">
        <f>IF(ISNUMBER(SEARCH(ZAKL_DATA!$B$29,N701)),MAX($M$2:M700)+1,0)</f>
        <v>699</v>
      </c>
      <c r="N701" s="306" t="s">
        <v>2859</v>
      </c>
      <c r="O701" s="323" t="s">
        <v>2860</v>
      </c>
      <c r="P701" s="308"/>
      <c r="Q701" s="309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306" t="s">
        <v>2859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306" t="s">
        <v>2859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306" t="s">
        <v>2859</v>
      </c>
      <c r="Z701" t="str">
        <f>IFERROR(VLOOKUP(ROWS($Z$3:Z701),$X$3:$Y$992,2,0),"")</f>
        <v>Ostatní maloobchod mimo prodejny, stánky a trhy</v>
      </c>
    </row>
    <row r="702" spans="13:26">
      <c r="M702" s="305">
        <f>IF(ISNUMBER(SEARCH(ZAKL_DATA!$B$29,N702)),MAX($M$2:M701)+1,0)</f>
        <v>700</v>
      </c>
      <c r="N702" s="306" t="s">
        <v>2861</v>
      </c>
      <c r="O702" s="323" t="s">
        <v>2862</v>
      </c>
      <c r="P702" s="308"/>
      <c r="Q702" s="309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306" t="s">
        <v>2861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306" t="s">
        <v>2861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306" t="s">
        <v>2861</v>
      </c>
      <c r="Z702" t="str">
        <f>IFERROR(VLOOKUP(ROWS($Z$3:Z702),$X$3:$Y$992,2,0),"")</f>
        <v>Městská a příměstská pozemní osobní doprava</v>
      </c>
    </row>
    <row r="703" spans="13:26">
      <c r="M703" s="305">
        <f>IF(ISNUMBER(SEARCH(ZAKL_DATA!$B$29,N703)),MAX($M$2:M702)+1,0)</f>
        <v>701</v>
      </c>
      <c r="N703" s="306" t="s">
        <v>2863</v>
      </c>
      <c r="O703" s="323" t="s">
        <v>2864</v>
      </c>
      <c r="P703" s="308"/>
      <c r="Q703" s="309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306" t="s">
        <v>2863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306" t="s">
        <v>2863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306" t="s">
        <v>2863</v>
      </c>
      <c r="Z703" t="str">
        <f>IFERROR(VLOOKUP(ROWS($Z$3:Z703),$X$3:$Y$992,2,0),"")</f>
        <v>Taxislužba a pronájem osobních vozů s řidičem</v>
      </c>
    </row>
    <row r="704" spans="13:26">
      <c r="M704" s="305">
        <f>IF(ISNUMBER(SEARCH(ZAKL_DATA!$B$29,N704)),MAX($M$2:M703)+1,0)</f>
        <v>702</v>
      </c>
      <c r="N704" s="306" t="s">
        <v>2865</v>
      </c>
      <c r="O704" s="323" t="s">
        <v>2866</v>
      </c>
      <c r="P704" s="308"/>
      <c r="Q704" s="309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306" t="s">
        <v>2865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306" t="s">
        <v>2865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306" t="s">
        <v>2865</v>
      </c>
      <c r="Z704" t="str">
        <f>IFERROR(VLOOKUP(ROWS($Z$3:Z704),$X$3:$Y$992,2,0),"")</f>
        <v>Ostatní pozemní osobní doprava j. n.</v>
      </c>
    </row>
    <row r="705" spans="13:26">
      <c r="M705" s="305">
        <f>IF(ISNUMBER(SEARCH(ZAKL_DATA!$B$29,N705)),MAX($M$2:M704)+1,0)</f>
        <v>703</v>
      </c>
      <c r="N705" s="306" t="s">
        <v>2867</v>
      </c>
      <c r="O705" s="323" t="s">
        <v>2868</v>
      </c>
      <c r="P705" s="308"/>
      <c r="Q705" s="309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306" t="s">
        <v>2867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306" t="s">
        <v>2867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306" t="s">
        <v>2867</v>
      </c>
      <c r="Z705" t="str">
        <f>IFERROR(VLOOKUP(ROWS($Z$3:Z705),$X$3:$Y$992,2,0),"")</f>
        <v>Silniční nákladní doprava</v>
      </c>
    </row>
    <row r="706" spans="13:26">
      <c r="M706" s="305">
        <f>IF(ISNUMBER(SEARCH(ZAKL_DATA!$B$29,N706)),MAX($M$2:M705)+1,0)</f>
        <v>704</v>
      </c>
      <c r="N706" s="306" t="s">
        <v>2869</v>
      </c>
      <c r="O706" s="323" t="s">
        <v>2870</v>
      </c>
      <c r="P706" s="308"/>
      <c r="Q706" s="309" t="str">
        <f>IFERROR(VLOOKUP(ROWS($Q$3:Q706),$M$3:$N$992,2,0),"")</f>
        <v>Stěhovací služby</v>
      </c>
      <c r="R706">
        <f>IF(ISNUMBER(SEARCH('1Př1'!$A$32,N706)),MAX($M$2:M705)+1,0)</f>
        <v>704</v>
      </c>
      <c r="S706" s="306" t="s">
        <v>2869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306" t="s">
        <v>2869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306" t="s">
        <v>2869</v>
      </c>
      <c r="Z706" t="str">
        <f>IFERROR(VLOOKUP(ROWS($Z$3:Z706),$X$3:$Y$992,2,0),"")</f>
        <v>Stěhovací služby</v>
      </c>
    </row>
    <row r="707" spans="13:26">
      <c r="M707" s="305">
        <f>IF(ISNUMBER(SEARCH(ZAKL_DATA!$B$29,N707)),MAX($M$2:M706)+1,0)</f>
        <v>705</v>
      </c>
      <c r="N707" s="306" t="s">
        <v>2871</v>
      </c>
      <c r="O707" s="323" t="s">
        <v>2872</v>
      </c>
      <c r="P707" s="308"/>
      <c r="Q707" s="309" t="str">
        <f>IFERROR(VLOOKUP(ROWS($Q$3:Q707),$M$3:$N$992,2,0),"")</f>
        <v>Těžba černého uhlí</v>
      </c>
      <c r="R707">
        <f>IF(ISNUMBER(SEARCH('1Př1'!$A$32,N707)),MAX($M$2:M706)+1,0)</f>
        <v>705</v>
      </c>
      <c r="S707" s="306" t="s">
        <v>2871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306" t="s">
        <v>2871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306" t="s">
        <v>2871</v>
      </c>
      <c r="Z707" t="str">
        <f>IFERROR(VLOOKUP(ROWS($Z$3:Z707),$X$3:$Y$992,2,0),"")</f>
        <v>Těžba černého uhlí</v>
      </c>
    </row>
    <row r="708" spans="13:26">
      <c r="M708" s="305">
        <f>IF(ISNUMBER(SEARCH(ZAKL_DATA!$B$29,N708)),MAX($M$2:M707)+1,0)</f>
        <v>706</v>
      </c>
      <c r="N708" s="306" t="s">
        <v>2873</v>
      </c>
      <c r="O708" s="323" t="s">
        <v>2874</v>
      </c>
      <c r="P708" s="308"/>
      <c r="Q708" s="309" t="str">
        <f>IFERROR(VLOOKUP(ROWS($Q$3:Q708),$M$3:$N$992,2,0),"")</f>
        <v>Úprava černého uhlí</v>
      </c>
      <c r="R708">
        <f>IF(ISNUMBER(SEARCH('1Př1'!$A$32,N708)),MAX($M$2:M707)+1,0)</f>
        <v>706</v>
      </c>
      <c r="S708" s="306" t="s">
        <v>2873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306" t="s">
        <v>2873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306" t="s">
        <v>2873</v>
      </c>
      <c r="Z708" t="str">
        <f>IFERROR(VLOOKUP(ROWS($Z$3:Z708),$X$3:$Y$992,2,0),"")</f>
        <v>Úprava černého uhlí</v>
      </c>
    </row>
    <row r="709" spans="13:26">
      <c r="M709" s="305">
        <f>IF(ISNUMBER(SEARCH(ZAKL_DATA!$B$29,N709)),MAX($M$2:M708)+1,0)</f>
        <v>707</v>
      </c>
      <c r="N709" s="306" t="s">
        <v>2875</v>
      </c>
      <c r="O709" s="323" t="s">
        <v>2876</v>
      </c>
      <c r="P709" s="308"/>
      <c r="Q709" s="309" t="str">
        <f>IFERROR(VLOOKUP(ROWS($Q$3:Q709),$M$3:$N$992,2,0),"")</f>
        <v>Letecká nákladní doprava</v>
      </c>
      <c r="R709">
        <f>IF(ISNUMBER(SEARCH('1Př1'!$A$32,N709)),MAX($M$2:M708)+1,0)</f>
        <v>707</v>
      </c>
      <c r="S709" s="306" t="s">
        <v>2875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306" t="s">
        <v>2875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306" t="s">
        <v>2875</v>
      </c>
      <c r="Z709" t="str">
        <f>IFERROR(VLOOKUP(ROWS($Z$3:Z709),$X$3:$Y$992,2,0),"")</f>
        <v>Letecká nákladní doprava</v>
      </c>
    </row>
    <row r="710" spans="13:26">
      <c r="M710" s="305">
        <f>IF(ISNUMBER(SEARCH(ZAKL_DATA!$B$29,N710)),MAX($M$2:M709)+1,0)</f>
        <v>708</v>
      </c>
      <c r="N710" s="306" t="s">
        <v>2877</v>
      </c>
      <c r="O710" s="323" t="s">
        <v>2878</v>
      </c>
      <c r="P710" s="308"/>
      <c r="Q710" s="309" t="str">
        <f>IFERROR(VLOOKUP(ROWS($Q$3:Q710),$M$3:$N$992,2,0),"")</f>
        <v>Kosmická doprava</v>
      </c>
      <c r="R710">
        <f>IF(ISNUMBER(SEARCH('1Př1'!$A$32,N710)),MAX($M$2:M709)+1,0)</f>
        <v>708</v>
      </c>
      <c r="S710" s="306" t="s">
        <v>2877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306" t="s">
        <v>2877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306" t="s">
        <v>2877</v>
      </c>
      <c r="Z710" t="str">
        <f>IFERROR(VLOOKUP(ROWS($Z$3:Z710),$X$3:$Y$992,2,0),"")</f>
        <v>Kosmická doprava</v>
      </c>
    </row>
    <row r="711" spans="13:26">
      <c r="M711" s="305">
        <f>IF(ISNUMBER(SEARCH(ZAKL_DATA!$B$29,N711)),MAX($M$2:M710)+1,0)</f>
        <v>709</v>
      </c>
      <c r="N711" s="306" t="s">
        <v>2879</v>
      </c>
      <c r="O711" s="323" t="s">
        <v>2880</v>
      </c>
      <c r="P711" s="308"/>
      <c r="Q711" s="309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306" t="s">
        <v>2879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306" t="s">
        <v>2879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306" t="s">
        <v>2879</v>
      </c>
      <c r="Z711" t="str">
        <f>IFERROR(VLOOKUP(ROWS($Z$3:Z711),$X$3:$Y$992,2,0),"")</f>
        <v>Těžba hnědého uhlí, kromě lignitu</v>
      </c>
    </row>
    <row r="712" spans="13:26">
      <c r="M712" s="305">
        <f>IF(ISNUMBER(SEARCH(ZAKL_DATA!$B$29,N712)),MAX($M$2:M711)+1,0)</f>
        <v>710</v>
      </c>
      <c r="N712" s="306" t="s">
        <v>2881</v>
      </c>
      <c r="O712" s="323" t="s">
        <v>2882</v>
      </c>
      <c r="P712" s="308"/>
      <c r="Q712" s="309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306" t="s">
        <v>2881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306" t="s">
        <v>2881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306" t="s">
        <v>2881</v>
      </c>
      <c r="Z712" t="str">
        <f>IFERROR(VLOOKUP(ROWS($Z$3:Z712),$X$3:$Y$992,2,0),"")</f>
        <v>Úprava hnědého uhlí, kromě lignitu</v>
      </c>
    </row>
    <row r="713" spans="13:26">
      <c r="M713" s="305">
        <f>IF(ISNUMBER(SEARCH(ZAKL_DATA!$B$29,N713)),MAX($M$2:M712)+1,0)</f>
        <v>711</v>
      </c>
      <c r="N713" s="306" t="s">
        <v>2883</v>
      </c>
      <c r="O713" s="323" t="s">
        <v>2884</v>
      </c>
      <c r="P713" s="308"/>
      <c r="Q713" s="309" t="str">
        <f>IFERROR(VLOOKUP(ROWS($Q$3:Q713),$M$3:$N$992,2,0),"")</f>
        <v>Těžba lignitu</v>
      </c>
      <c r="R713">
        <f>IF(ISNUMBER(SEARCH('1Př1'!$A$32,N713)),MAX($M$2:M712)+1,0)</f>
        <v>711</v>
      </c>
      <c r="S713" s="306" t="s">
        <v>2883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306" t="s">
        <v>2883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306" t="s">
        <v>2883</v>
      </c>
      <c r="Z713" t="str">
        <f>IFERROR(VLOOKUP(ROWS($Z$3:Z713),$X$3:$Y$992,2,0),"")</f>
        <v>Těžba lignitu</v>
      </c>
    </row>
    <row r="714" spans="13:26">
      <c r="M714" s="305">
        <f>IF(ISNUMBER(SEARCH(ZAKL_DATA!$B$29,N714)),MAX($M$2:M713)+1,0)</f>
        <v>712</v>
      </c>
      <c r="N714" s="306" t="s">
        <v>2885</v>
      </c>
      <c r="O714" s="323" t="s">
        <v>2886</v>
      </c>
      <c r="P714" s="308"/>
      <c r="Q714" s="309" t="str">
        <f>IFERROR(VLOOKUP(ROWS($Q$3:Q714),$M$3:$N$992,2,0),"")</f>
        <v>Úprava lignitu</v>
      </c>
      <c r="R714">
        <f>IF(ISNUMBER(SEARCH('1Př1'!$A$32,N714)),MAX($M$2:M713)+1,0)</f>
        <v>712</v>
      </c>
      <c r="S714" s="306" t="s">
        <v>2885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306" t="s">
        <v>2885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306" t="s">
        <v>2885</v>
      </c>
      <c r="Z714" t="str">
        <f>IFERROR(VLOOKUP(ROWS($Z$3:Z714),$X$3:$Y$992,2,0),"")</f>
        <v>Úprava lignitu</v>
      </c>
    </row>
    <row r="715" spans="13:26">
      <c r="M715" s="305">
        <f>IF(ISNUMBER(SEARCH(ZAKL_DATA!$B$29,N715)),MAX($M$2:M714)+1,0)</f>
        <v>713</v>
      </c>
      <c r="N715" s="306" t="s">
        <v>2887</v>
      </c>
      <c r="O715" s="323" t="s">
        <v>2888</v>
      </c>
      <c r="P715" s="308"/>
      <c r="Q715" s="309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306" t="s">
        <v>2887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306" t="s">
        <v>2887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306" t="s">
        <v>2887</v>
      </c>
      <c r="Z715" t="str">
        <f>IFERROR(VLOOKUP(ROWS($Z$3:Z715),$X$3:$Y$992,2,0),"")</f>
        <v>Činnosti související s pozemní dopravou</v>
      </c>
    </row>
    <row r="716" spans="13:26">
      <c r="M716" s="305">
        <f>IF(ISNUMBER(SEARCH(ZAKL_DATA!$B$29,N716)),MAX($M$2:M715)+1,0)</f>
        <v>714</v>
      </c>
      <c r="N716" s="306" t="s">
        <v>2889</v>
      </c>
      <c r="O716" s="323" t="s">
        <v>2890</v>
      </c>
      <c r="P716" s="308"/>
      <c r="Q716" s="309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306" t="s">
        <v>2889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306" t="s">
        <v>2889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306" t="s">
        <v>2889</v>
      </c>
      <c r="Z716" t="str">
        <f>IFERROR(VLOOKUP(ROWS($Z$3:Z716),$X$3:$Y$992,2,0),"")</f>
        <v>Činnosti související s vodní dopravou</v>
      </c>
    </row>
    <row r="717" spans="13:26">
      <c r="M717" s="305">
        <f>IF(ISNUMBER(SEARCH(ZAKL_DATA!$B$29,N717)),MAX($M$2:M716)+1,0)</f>
        <v>715</v>
      </c>
      <c r="N717" s="306" t="s">
        <v>2891</v>
      </c>
      <c r="O717" s="323" t="s">
        <v>2892</v>
      </c>
      <c r="P717" s="308"/>
      <c r="Q717" s="309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306" t="s">
        <v>2891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306" t="s">
        <v>2891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306" t="s">
        <v>2891</v>
      </c>
      <c r="Z717" t="str">
        <f>IFERROR(VLOOKUP(ROWS($Z$3:Z717),$X$3:$Y$992,2,0),"")</f>
        <v>Činnosti související s leteckou dopravou</v>
      </c>
    </row>
    <row r="718" spans="13:26">
      <c r="M718" s="305">
        <f>IF(ISNUMBER(SEARCH(ZAKL_DATA!$B$29,N718)),MAX($M$2:M717)+1,0)</f>
        <v>716</v>
      </c>
      <c r="N718" s="306" t="s">
        <v>2893</v>
      </c>
      <c r="O718" s="323" t="s">
        <v>2894</v>
      </c>
      <c r="P718" s="308"/>
      <c r="Q718" s="309" t="str">
        <f>IFERROR(VLOOKUP(ROWS($Q$3:Q718),$M$3:$N$992,2,0),"")</f>
        <v>Manipulace s nákladem</v>
      </c>
      <c r="R718">
        <f>IF(ISNUMBER(SEARCH('1Př1'!$A$32,N718)),MAX($M$2:M717)+1,0)</f>
        <v>716</v>
      </c>
      <c r="S718" s="306" t="s">
        <v>2893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306" t="s">
        <v>2893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306" t="s">
        <v>2893</v>
      </c>
      <c r="Z718" t="str">
        <f>IFERROR(VLOOKUP(ROWS($Z$3:Z718),$X$3:$Y$992,2,0),"")</f>
        <v>Manipulace s nákladem</v>
      </c>
    </row>
    <row r="719" spans="13:26">
      <c r="M719" s="305">
        <f>IF(ISNUMBER(SEARCH(ZAKL_DATA!$B$29,N719)),MAX($M$2:M718)+1,0)</f>
        <v>717</v>
      </c>
      <c r="N719" s="306" t="s">
        <v>2895</v>
      </c>
      <c r="O719" s="323" t="s">
        <v>2896</v>
      </c>
      <c r="P719" s="308"/>
      <c r="Q719" s="309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306" t="s">
        <v>2895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306" t="s">
        <v>2895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306" t="s">
        <v>2895</v>
      </c>
      <c r="Z719" t="str">
        <f>IFERROR(VLOOKUP(ROWS($Z$3:Z719),$X$3:$Y$992,2,0),"")</f>
        <v>Ostatní vedlejší činnosti v dopravě</v>
      </c>
    </row>
    <row r="720" spans="13:26">
      <c r="M720" s="305">
        <f>IF(ISNUMBER(SEARCH(ZAKL_DATA!$B$29,N720)),MAX($M$2:M719)+1,0)</f>
        <v>718</v>
      </c>
      <c r="N720" s="306" t="s">
        <v>2897</v>
      </c>
      <c r="O720" s="323" t="s">
        <v>2898</v>
      </c>
      <c r="P720" s="308"/>
      <c r="Q720" s="309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306" t="s">
        <v>2897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306" t="s">
        <v>2897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306" t="s">
        <v>2897</v>
      </c>
      <c r="Z720" t="str">
        <f>IFERROR(VLOOKUP(ROWS($Z$3:Z720),$X$3:$Y$992,2,0),"")</f>
        <v>Poskytování cateringových služeb</v>
      </c>
    </row>
    <row r="721" spans="13:26">
      <c r="M721" s="305">
        <f>IF(ISNUMBER(SEARCH(ZAKL_DATA!$B$29,N721)),MAX($M$2:M720)+1,0)</f>
        <v>719</v>
      </c>
      <c r="N721" s="306" t="s">
        <v>2899</v>
      </c>
      <c r="O721" s="323" t="s">
        <v>2900</v>
      </c>
      <c r="P721" s="308"/>
      <c r="Q721" s="309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306" t="s">
        <v>2899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306" t="s">
        <v>2899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306" t="s">
        <v>2899</v>
      </c>
      <c r="Z721" t="str">
        <f>IFERROR(VLOOKUP(ROWS($Z$3:Z721),$X$3:$Y$992,2,0),"")</f>
        <v>Poskytování ostatních stravovacích služeb</v>
      </c>
    </row>
    <row r="722" spans="13:26">
      <c r="M722" s="305">
        <f>IF(ISNUMBER(SEARCH(ZAKL_DATA!$B$29,N722)),MAX($M$2:M721)+1,0)</f>
        <v>720</v>
      </c>
      <c r="N722" s="306" t="s">
        <v>2901</v>
      </c>
      <c r="O722" s="323" t="s">
        <v>2902</v>
      </c>
      <c r="P722" s="308"/>
      <c r="Q722" s="309" t="str">
        <f>IFERROR(VLOOKUP(ROWS($Q$3:Q722),$M$3:$N$992,2,0),"")</f>
        <v>Vydávání knih</v>
      </c>
      <c r="R722">
        <f>IF(ISNUMBER(SEARCH('1Př1'!$A$32,N722)),MAX($M$2:M721)+1,0)</f>
        <v>720</v>
      </c>
      <c r="S722" s="306" t="s">
        <v>2901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306" t="s">
        <v>2901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306" t="s">
        <v>2901</v>
      </c>
      <c r="Z722" t="str">
        <f>IFERROR(VLOOKUP(ROWS($Z$3:Z722),$X$3:$Y$992,2,0),"")</f>
        <v>Vydávání knih</v>
      </c>
    </row>
    <row r="723" spans="13:26">
      <c r="M723" s="305">
        <f>IF(ISNUMBER(SEARCH(ZAKL_DATA!$B$29,N723)),MAX($M$2:M722)+1,0)</f>
        <v>721</v>
      </c>
      <c r="N723" s="306" t="s">
        <v>2903</v>
      </c>
      <c r="O723" s="323" t="s">
        <v>2904</v>
      </c>
      <c r="P723" s="308"/>
      <c r="Q723" s="309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306" t="s">
        <v>2903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306" t="s">
        <v>2903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306" t="s">
        <v>2903</v>
      </c>
      <c r="Z723" t="str">
        <f>IFERROR(VLOOKUP(ROWS($Z$3:Z723),$X$3:$Y$992,2,0),"")</f>
        <v>Vydávání adresářů a jiných seznamů</v>
      </c>
    </row>
    <row r="724" spans="13:26">
      <c r="M724" s="305">
        <f>IF(ISNUMBER(SEARCH(ZAKL_DATA!$B$29,N724)),MAX($M$2:M723)+1,0)</f>
        <v>722</v>
      </c>
      <c r="N724" s="306" t="s">
        <v>2905</v>
      </c>
      <c r="O724" s="323" t="s">
        <v>2906</v>
      </c>
      <c r="P724" s="308"/>
      <c r="Q724" s="309" t="str">
        <f>IFERROR(VLOOKUP(ROWS($Q$3:Q724),$M$3:$N$992,2,0),"")</f>
        <v>Vydávání novin</v>
      </c>
      <c r="R724">
        <f>IF(ISNUMBER(SEARCH('1Př1'!$A$32,N724)),MAX($M$2:M723)+1,0)</f>
        <v>722</v>
      </c>
      <c r="S724" s="306" t="s">
        <v>2905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306" t="s">
        <v>2905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306" t="s">
        <v>2905</v>
      </c>
      <c r="Z724" t="str">
        <f>IFERROR(VLOOKUP(ROWS($Z$3:Z724),$X$3:$Y$992,2,0),"")</f>
        <v>Vydávání novin</v>
      </c>
    </row>
    <row r="725" spans="13:26">
      <c r="M725" s="305">
        <f>IF(ISNUMBER(SEARCH(ZAKL_DATA!$B$29,N725)),MAX($M$2:M724)+1,0)</f>
        <v>723</v>
      </c>
      <c r="N725" s="306" t="s">
        <v>2907</v>
      </c>
      <c r="O725" s="323" t="s">
        <v>2908</v>
      </c>
      <c r="P725" s="308"/>
      <c r="Q725" s="309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306" t="s">
        <v>2907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306" t="s">
        <v>2907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306" t="s">
        <v>2907</v>
      </c>
      <c r="Z725" t="str">
        <f>IFERROR(VLOOKUP(ROWS($Z$3:Z725),$X$3:$Y$992,2,0),"")</f>
        <v>Vydávání časopisů a ostatních periodických publikací</v>
      </c>
    </row>
    <row r="726" spans="13:26">
      <c r="M726" s="305">
        <f>IF(ISNUMBER(SEARCH(ZAKL_DATA!$B$29,N726)),MAX($M$2:M725)+1,0)</f>
        <v>724</v>
      </c>
      <c r="N726" s="306" t="s">
        <v>2909</v>
      </c>
      <c r="O726" s="323" t="s">
        <v>2910</v>
      </c>
      <c r="P726" s="308"/>
      <c r="Q726" s="309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306" t="s">
        <v>2909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306" t="s">
        <v>2909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306" t="s">
        <v>2909</v>
      </c>
      <c r="Z726" t="str">
        <f>IFERROR(VLOOKUP(ROWS($Z$3:Z726),$X$3:$Y$992,2,0),"")</f>
        <v>Ostatní vydavatelské činnosti</v>
      </c>
    </row>
    <row r="727" spans="13:26">
      <c r="M727" s="305">
        <f>IF(ISNUMBER(SEARCH(ZAKL_DATA!$B$29,N727)),MAX($M$2:M726)+1,0)</f>
        <v>725</v>
      </c>
      <c r="N727" s="306" t="s">
        <v>2911</v>
      </c>
      <c r="O727" s="323" t="s">
        <v>2912</v>
      </c>
      <c r="P727" s="308"/>
      <c r="Q727" s="309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306" t="s">
        <v>2911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306" t="s">
        <v>2911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306" t="s">
        <v>2911</v>
      </c>
      <c r="Z727" t="str">
        <f>IFERROR(VLOOKUP(ROWS($Z$3:Z727),$X$3:$Y$992,2,0),"")</f>
        <v>Vydávání počítačových her</v>
      </c>
    </row>
    <row r="728" spans="13:26">
      <c r="M728" s="305">
        <f>IF(ISNUMBER(SEARCH(ZAKL_DATA!$B$29,N728)),MAX($M$2:M727)+1,0)</f>
        <v>726</v>
      </c>
      <c r="N728" s="306" t="s">
        <v>2913</v>
      </c>
      <c r="O728" s="323" t="s">
        <v>2914</v>
      </c>
      <c r="P728" s="308"/>
      <c r="Q728" s="309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306" t="s">
        <v>2913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306" t="s">
        <v>2913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306" t="s">
        <v>2913</v>
      </c>
      <c r="Z728" t="str">
        <f>IFERROR(VLOOKUP(ROWS($Z$3:Z728),$X$3:$Y$992,2,0),"")</f>
        <v>Ostatní vydávání softwaru</v>
      </c>
    </row>
    <row r="729" spans="13:26">
      <c r="M729" s="305">
        <f>IF(ISNUMBER(SEARCH(ZAKL_DATA!$B$29,N729)),MAX($M$2:M728)+1,0)</f>
        <v>727</v>
      </c>
      <c r="N729" s="306" t="s">
        <v>2915</v>
      </c>
      <c r="O729" s="323" t="s">
        <v>2916</v>
      </c>
      <c r="P729" s="308"/>
      <c r="Q729" s="309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306" t="s">
        <v>2915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306" t="s">
        <v>2915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306" t="s">
        <v>2915</v>
      </c>
      <c r="Z729" t="str">
        <f>IFERROR(VLOOKUP(ROWS($Z$3:Z729),$X$3:$Y$992,2,0),"")</f>
        <v>Produkce filmů, videozáznamů a televizních programů</v>
      </c>
    </row>
    <row r="730" spans="13:26">
      <c r="M730" s="305">
        <f>IF(ISNUMBER(SEARCH(ZAKL_DATA!$B$29,N730)),MAX($M$2:M729)+1,0)</f>
        <v>728</v>
      </c>
      <c r="N730" s="306" t="s">
        <v>2917</v>
      </c>
      <c r="O730" s="323" t="s">
        <v>2918</v>
      </c>
      <c r="P730" s="308"/>
      <c r="Q730" s="309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306" t="s">
        <v>2917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306" t="s">
        <v>2917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306" t="s">
        <v>2917</v>
      </c>
      <c r="Z730" t="str">
        <f>IFERROR(VLOOKUP(ROWS($Z$3:Z730),$X$3:$Y$992,2,0),"")</f>
        <v>Postprodukce filmů, videozáznamů a televizních programů</v>
      </c>
    </row>
    <row r="731" spans="13:26">
      <c r="M731" s="305">
        <f>IF(ISNUMBER(SEARCH(ZAKL_DATA!$B$29,N731)),MAX($M$2:M730)+1,0)</f>
        <v>729</v>
      </c>
      <c r="N731" s="306" t="s">
        <v>2919</v>
      </c>
      <c r="O731" s="323" t="s">
        <v>2920</v>
      </c>
      <c r="P731" s="308"/>
      <c r="Q731" s="309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306" t="s">
        <v>2919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306" t="s">
        <v>2919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306" t="s">
        <v>2919</v>
      </c>
      <c r="Z731" t="str">
        <f>IFERROR(VLOOKUP(ROWS($Z$3:Z731),$X$3:$Y$992,2,0),"")</f>
        <v>Distribuce filmů, videozáznamů a televizních programů</v>
      </c>
    </row>
    <row r="732" spans="13:26">
      <c r="M732" s="305">
        <f>IF(ISNUMBER(SEARCH(ZAKL_DATA!$B$29,N732)),MAX($M$2:M731)+1,0)</f>
        <v>730</v>
      </c>
      <c r="N732" s="306" t="s">
        <v>2921</v>
      </c>
      <c r="O732" s="323" t="s">
        <v>2922</v>
      </c>
      <c r="P732" s="308"/>
      <c r="Q732" s="309" t="str">
        <f>IFERROR(VLOOKUP(ROWS($Q$3:Q732),$M$3:$N$992,2,0),"")</f>
        <v>Promítání filmů</v>
      </c>
      <c r="R732">
        <f>IF(ISNUMBER(SEARCH('1Př1'!$A$32,N732)),MAX($M$2:M731)+1,0)</f>
        <v>730</v>
      </c>
      <c r="S732" s="306" t="s">
        <v>2921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306" t="s">
        <v>2921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306" t="s">
        <v>2921</v>
      </c>
      <c r="Z732" t="str">
        <f>IFERROR(VLOOKUP(ROWS($Z$3:Z732),$X$3:$Y$992,2,0),"")</f>
        <v>Promítání filmů</v>
      </c>
    </row>
    <row r="733" spans="13:26">
      <c r="M733" s="305">
        <f>IF(ISNUMBER(SEARCH(ZAKL_DATA!$B$29,N733)),MAX($M$2:M732)+1,0)</f>
        <v>731</v>
      </c>
      <c r="N733" s="306" t="s">
        <v>2923</v>
      </c>
      <c r="O733" s="323" t="s">
        <v>2924</v>
      </c>
      <c r="P733" s="308"/>
      <c r="Q733" s="309" t="str">
        <f>IFERROR(VLOOKUP(ROWS($Q$3:Q733),$M$3:$N$992,2,0),"")</f>
        <v>Programování</v>
      </c>
      <c r="R733">
        <f>IF(ISNUMBER(SEARCH('1Př1'!$A$32,N733)),MAX($M$2:M732)+1,0)</f>
        <v>731</v>
      </c>
      <c r="S733" s="306" t="s">
        <v>2923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306" t="s">
        <v>2923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306" t="s">
        <v>2923</v>
      </c>
      <c r="Z733" t="str">
        <f>IFERROR(VLOOKUP(ROWS($Z$3:Z733),$X$3:$Y$992,2,0),"")</f>
        <v>Programování</v>
      </c>
    </row>
    <row r="734" spans="13:26">
      <c r="M734" s="305">
        <f>IF(ISNUMBER(SEARCH(ZAKL_DATA!$B$29,N734)),MAX($M$2:M733)+1,0)</f>
        <v>732</v>
      </c>
      <c r="N734" s="306" t="s">
        <v>2925</v>
      </c>
      <c r="O734" s="323" t="s">
        <v>2926</v>
      </c>
      <c r="P734" s="308"/>
      <c r="Q734" s="309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306" t="s">
        <v>2925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306" t="s">
        <v>2925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306" t="s">
        <v>2925</v>
      </c>
      <c r="Z734" t="str">
        <f>IFERROR(VLOOKUP(ROWS($Z$3:Z734),$X$3:$Y$992,2,0),"")</f>
        <v>Poradenství v oblasti informačních technologií</v>
      </c>
    </row>
    <row r="735" spans="13:26">
      <c r="M735" s="305">
        <f>IF(ISNUMBER(SEARCH(ZAKL_DATA!$B$29,N735)),MAX($M$2:M734)+1,0)</f>
        <v>733</v>
      </c>
      <c r="N735" s="306" t="s">
        <v>2927</v>
      </c>
      <c r="O735" s="323" t="s">
        <v>2928</v>
      </c>
      <c r="P735" s="308"/>
      <c r="Q735" s="309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306" t="s">
        <v>2927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306" t="s">
        <v>2927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306" t="s">
        <v>2927</v>
      </c>
      <c r="Z735" t="str">
        <f>IFERROR(VLOOKUP(ROWS($Z$3:Z735),$X$3:$Y$992,2,0),"")</f>
        <v>Správa počítačového vybavení</v>
      </c>
    </row>
    <row r="736" spans="13:26">
      <c r="M736" s="305">
        <f>IF(ISNUMBER(SEARCH(ZAKL_DATA!$B$29,N736)),MAX($M$2:M735)+1,0)</f>
        <v>734</v>
      </c>
      <c r="N736" s="306" t="s">
        <v>2929</v>
      </c>
      <c r="O736" s="323" t="s">
        <v>2930</v>
      </c>
      <c r="P736" s="308"/>
      <c r="Q736" s="309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306" t="s">
        <v>2929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306" t="s">
        <v>2929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306" t="s">
        <v>2929</v>
      </c>
      <c r="Z736" t="str">
        <f>IFERROR(VLOOKUP(ROWS($Z$3:Z736),$X$3:$Y$992,2,0),"")</f>
        <v>Ostatní činnosti v oblasti informačních technologií</v>
      </c>
    </row>
    <row r="737" spans="13:26">
      <c r="M737" s="305">
        <f>IF(ISNUMBER(SEARCH(ZAKL_DATA!$B$29,N737)),MAX($M$2:M736)+1,0)</f>
        <v>735</v>
      </c>
      <c r="N737" s="306" t="s">
        <v>2931</v>
      </c>
      <c r="O737" s="323" t="s">
        <v>2932</v>
      </c>
      <c r="P737" s="308"/>
      <c r="Q737" s="309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306" t="s">
        <v>2931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306" t="s">
        <v>2931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306" t="s">
        <v>2931</v>
      </c>
      <c r="Z737" t="str">
        <f>IFERROR(VLOOKUP(ROWS($Z$3:Z737),$X$3:$Y$992,2,0),"")</f>
        <v>Činnosti související se zpracováním dat a hostingem</v>
      </c>
    </row>
    <row r="738" spans="13:26">
      <c r="M738" s="305">
        <f>IF(ISNUMBER(SEARCH(ZAKL_DATA!$B$29,N738)),MAX($M$2:M737)+1,0)</f>
        <v>736</v>
      </c>
      <c r="N738" s="306" t="s">
        <v>2933</v>
      </c>
      <c r="O738" s="323" t="s">
        <v>2934</v>
      </c>
      <c r="P738" s="308"/>
      <c r="Q738" s="309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306" t="s">
        <v>2933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306" t="s">
        <v>2933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306" t="s">
        <v>2933</v>
      </c>
      <c r="Z738" t="str">
        <f>IFERROR(VLOOKUP(ROWS($Z$3:Z738),$X$3:$Y$992,2,0),"")</f>
        <v>Činnosti související s webovými portály</v>
      </c>
    </row>
    <row r="739" spans="13:26">
      <c r="M739" s="305">
        <f>IF(ISNUMBER(SEARCH(ZAKL_DATA!$B$29,N739)),MAX($M$2:M738)+1,0)</f>
        <v>737</v>
      </c>
      <c r="N739" s="306" t="s">
        <v>2935</v>
      </c>
      <c r="O739" s="323" t="s">
        <v>2936</v>
      </c>
      <c r="P739" s="308"/>
      <c r="Q739" s="309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306" t="s">
        <v>2935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306" t="s">
        <v>2935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306" t="s">
        <v>2935</v>
      </c>
      <c r="Z739" t="str">
        <f>IFERROR(VLOOKUP(ROWS($Z$3:Z739),$X$3:$Y$992,2,0),"")</f>
        <v>Činnosti zpravodajských tiskových kanceláří a agentur</v>
      </c>
    </row>
    <row r="740" spans="13:26">
      <c r="M740" s="305">
        <f>IF(ISNUMBER(SEARCH(ZAKL_DATA!$B$29,N740)),MAX($M$2:M739)+1,0)</f>
        <v>738</v>
      </c>
      <c r="N740" s="306" t="s">
        <v>2937</v>
      </c>
      <c r="O740" s="323" t="s">
        <v>2938</v>
      </c>
      <c r="P740" s="308"/>
      <c r="Q740" s="309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306" t="s">
        <v>2937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306" t="s">
        <v>2937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306" t="s">
        <v>2937</v>
      </c>
      <c r="Z740" t="str">
        <f>IFERROR(VLOOKUP(ROWS($Z$3:Z740),$X$3:$Y$992,2,0),"")</f>
        <v>Ostatní informační činnosti j. n.</v>
      </c>
    </row>
    <row r="741" spans="13:26">
      <c r="M741" s="305">
        <f>IF(ISNUMBER(SEARCH(ZAKL_DATA!$B$29,N741)),MAX($M$2:M740)+1,0)</f>
        <v>739</v>
      </c>
      <c r="N741" s="306" t="s">
        <v>2939</v>
      </c>
      <c r="O741" s="323" t="s">
        <v>2940</v>
      </c>
      <c r="P741" s="308"/>
      <c r="Q741" s="309" t="str">
        <f>IFERROR(VLOOKUP(ROWS($Q$3:Q741),$M$3:$N$992,2,0),"")</f>
        <v>Centrální bankovnictví</v>
      </c>
      <c r="R741">
        <f>IF(ISNUMBER(SEARCH('1Př1'!$A$32,N741)),MAX($M$2:M740)+1,0)</f>
        <v>739</v>
      </c>
      <c r="S741" s="306" t="s">
        <v>2939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306" t="s">
        <v>2939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306" t="s">
        <v>2939</v>
      </c>
      <c r="Z741" t="str">
        <f>IFERROR(VLOOKUP(ROWS($Z$3:Z741),$X$3:$Y$992,2,0),"")</f>
        <v>Centrální bankovnictví</v>
      </c>
    </row>
    <row r="742" spans="13:26">
      <c r="M742" s="305">
        <f>IF(ISNUMBER(SEARCH(ZAKL_DATA!$B$29,N742)),MAX($M$2:M741)+1,0)</f>
        <v>740</v>
      </c>
      <c r="N742" s="306" t="s">
        <v>2941</v>
      </c>
      <c r="O742" s="323" t="s">
        <v>2942</v>
      </c>
      <c r="P742" s="308"/>
      <c r="Q742" s="309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306" t="s">
        <v>2941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306" t="s">
        <v>2941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306" t="s">
        <v>2941</v>
      </c>
      <c r="Z742" t="str">
        <f>IFERROR(VLOOKUP(ROWS($Z$3:Z742),$X$3:$Y$992,2,0),"")</f>
        <v>Ostatní peněžní zprostředkování</v>
      </c>
    </row>
    <row r="743" spans="13:26">
      <c r="M743" s="305">
        <f>IF(ISNUMBER(SEARCH(ZAKL_DATA!$B$29,N743)),MAX($M$2:M742)+1,0)</f>
        <v>741</v>
      </c>
      <c r="N743" s="306" t="s">
        <v>2943</v>
      </c>
      <c r="O743" s="323" t="s">
        <v>2944</v>
      </c>
      <c r="P743" s="308"/>
      <c r="Q743" s="309" t="str">
        <f>IFERROR(VLOOKUP(ROWS($Q$3:Q743),$M$3:$N$992,2,0),"")</f>
        <v>Finanční leasing</v>
      </c>
      <c r="R743">
        <f>IF(ISNUMBER(SEARCH('1Př1'!$A$32,N743)),MAX($M$2:M742)+1,0)</f>
        <v>741</v>
      </c>
      <c r="S743" s="306" t="s">
        <v>2943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306" t="s">
        <v>2943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306" t="s">
        <v>2943</v>
      </c>
      <c r="Z743" t="str">
        <f>IFERROR(VLOOKUP(ROWS($Z$3:Z743),$X$3:$Y$992,2,0),"")</f>
        <v>Finanční leasing</v>
      </c>
    </row>
    <row r="744" spans="13:26">
      <c r="M744" s="305">
        <f>IF(ISNUMBER(SEARCH(ZAKL_DATA!$B$29,N744)),MAX($M$2:M743)+1,0)</f>
        <v>742</v>
      </c>
      <c r="N744" s="306" t="s">
        <v>2945</v>
      </c>
      <c r="O744" s="323" t="s">
        <v>2946</v>
      </c>
      <c r="P744" s="308"/>
      <c r="Q744" s="309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306" t="s">
        <v>2945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306" t="s">
        <v>2945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306" t="s">
        <v>2945</v>
      </c>
      <c r="Z744" t="str">
        <f>IFERROR(VLOOKUP(ROWS($Z$3:Z744),$X$3:$Y$992,2,0),"")</f>
        <v>Ostatní poskytování úvěrů</v>
      </c>
    </row>
    <row r="745" spans="13:26">
      <c r="M745" s="305">
        <f>IF(ISNUMBER(SEARCH(ZAKL_DATA!$B$29,N745)),MAX($M$2:M744)+1,0)</f>
        <v>743</v>
      </c>
      <c r="N745" s="306" t="s">
        <v>2947</v>
      </c>
      <c r="O745" s="323" t="s">
        <v>2948</v>
      </c>
      <c r="P745" s="308"/>
      <c r="Q745" s="309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306" t="s">
        <v>2947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306" t="s">
        <v>2947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306" t="s">
        <v>2947</v>
      </c>
      <c r="Z745" t="str">
        <f>IFERROR(VLOOKUP(ROWS($Z$3:Z745),$X$3:$Y$992,2,0),"")</f>
        <v>Ostatní finanční zprostředkování j. n.</v>
      </c>
    </row>
    <row r="746" spans="13:26">
      <c r="M746" s="305">
        <f>IF(ISNUMBER(SEARCH(ZAKL_DATA!$B$29,N746)),MAX($M$2:M745)+1,0)</f>
        <v>744</v>
      </c>
      <c r="N746" s="306" t="s">
        <v>2949</v>
      </c>
      <c r="O746" s="323" t="s">
        <v>2950</v>
      </c>
      <c r="P746" s="308"/>
      <c r="Q746" s="309" t="str">
        <f>IFERROR(VLOOKUP(ROWS($Q$3:Q746),$M$3:$N$992,2,0),"")</f>
        <v>životní pojištění</v>
      </c>
      <c r="R746">
        <f>IF(ISNUMBER(SEARCH('1Př1'!$A$32,N746)),MAX($M$2:M745)+1,0)</f>
        <v>744</v>
      </c>
      <c r="S746" s="306" t="s">
        <v>2949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306" t="s">
        <v>2949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306" t="s">
        <v>2949</v>
      </c>
      <c r="Z746" t="str">
        <f>IFERROR(VLOOKUP(ROWS($Z$3:Z746),$X$3:$Y$992,2,0),"")</f>
        <v>životní pojištění</v>
      </c>
    </row>
    <row r="747" spans="13:26">
      <c r="M747" s="305">
        <f>IF(ISNUMBER(SEARCH(ZAKL_DATA!$B$29,N747)),MAX($M$2:M746)+1,0)</f>
        <v>745</v>
      </c>
      <c r="N747" s="306" t="s">
        <v>2951</v>
      </c>
      <c r="O747" s="323" t="s">
        <v>2952</v>
      </c>
      <c r="P747" s="308"/>
      <c r="Q747" s="309" t="str">
        <f>IFERROR(VLOOKUP(ROWS($Q$3:Q747),$M$3:$N$992,2,0),"")</f>
        <v>Neživotní pojištění</v>
      </c>
      <c r="R747">
        <f>IF(ISNUMBER(SEARCH('1Př1'!$A$32,N747)),MAX($M$2:M746)+1,0)</f>
        <v>745</v>
      </c>
      <c r="S747" s="306" t="s">
        <v>2951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306" t="s">
        <v>2951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306" t="s">
        <v>2951</v>
      </c>
      <c r="Z747" t="str">
        <f>IFERROR(VLOOKUP(ROWS($Z$3:Z747),$X$3:$Y$992,2,0),"")</f>
        <v>Neživotní pojištění</v>
      </c>
    </row>
    <row r="748" spans="13:26">
      <c r="M748" s="305">
        <f>IF(ISNUMBER(SEARCH(ZAKL_DATA!$B$29,N748)),MAX($M$2:M747)+1,0)</f>
        <v>746</v>
      </c>
      <c r="N748" s="306" t="s">
        <v>2953</v>
      </c>
      <c r="O748" s="323" t="s">
        <v>2954</v>
      </c>
      <c r="P748" s="308"/>
      <c r="Q748" s="309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306" t="s">
        <v>2953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306" t="s">
        <v>2953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306" t="s">
        <v>2953</v>
      </c>
      <c r="Z748" t="str">
        <f>IFERROR(VLOOKUP(ROWS($Z$3:Z748),$X$3:$Y$992,2,0),"")</f>
        <v>Řízení a správa finančních trhů</v>
      </c>
    </row>
    <row r="749" spans="13:26">
      <c r="M749" s="305">
        <f>IF(ISNUMBER(SEARCH(ZAKL_DATA!$B$29,N749)),MAX($M$2:M748)+1,0)</f>
        <v>747</v>
      </c>
      <c r="N749" s="306" t="s">
        <v>2955</v>
      </c>
      <c r="O749" s="323" t="s">
        <v>2956</v>
      </c>
      <c r="P749" s="308"/>
      <c r="Q749" s="309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306" t="s">
        <v>2955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306" t="s">
        <v>2955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306" t="s">
        <v>2955</v>
      </c>
      <c r="Z749" t="str">
        <f>IFERROR(VLOOKUP(ROWS($Z$3:Z749),$X$3:$Y$992,2,0),"")</f>
        <v>Obchodování s cennými papíry a komoditami na burzách</v>
      </c>
    </row>
    <row r="750" spans="13:26">
      <c r="M750" s="305">
        <f>IF(ISNUMBER(SEARCH(ZAKL_DATA!$B$29,N750)),MAX($M$2:M749)+1,0)</f>
        <v>748</v>
      </c>
      <c r="N750" s="306" t="s">
        <v>2957</v>
      </c>
      <c r="O750" s="323" t="s">
        <v>2958</v>
      </c>
      <c r="P750" s="308"/>
      <c r="Q750" s="309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306" t="s">
        <v>2957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306" t="s">
        <v>2957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306" t="s">
        <v>2957</v>
      </c>
      <c r="Z750" t="str">
        <f>IFERROR(VLOOKUP(ROWS($Z$3:Z750),$X$3:$Y$992,2,0),"")</f>
        <v>Ostatní pomocné činnosti související s finančním zprostředkováním</v>
      </c>
    </row>
    <row r="751" spans="13:26">
      <c r="M751" s="305">
        <f>IF(ISNUMBER(SEARCH(ZAKL_DATA!$B$29,N751)),MAX($M$2:M750)+1,0)</f>
        <v>749</v>
      </c>
      <c r="N751" s="306" t="s">
        <v>2959</v>
      </c>
      <c r="O751" s="323" t="s">
        <v>2960</v>
      </c>
      <c r="P751" s="308"/>
      <c r="Q751" s="309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306" t="s">
        <v>2959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306" t="s">
        <v>2959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306" t="s">
        <v>2959</v>
      </c>
      <c r="Z751" t="str">
        <f>IFERROR(VLOOKUP(ROWS($Z$3:Z751),$X$3:$Y$992,2,0),"")</f>
        <v>Vyhodnocování rizik a škod</v>
      </c>
    </row>
    <row r="752" spans="13:26">
      <c r="M752" s="305">
        <f>IF(ISNUMBER(SEARCH(ZAKL_DATA!$B$29,N752)),MAX($M$2:M751)+1,0)</f>
        <v>750</v>
      </c>
      <c r="N752" s="306" t="s">
        <v>2961</v>
      </c>
      <c r="O752" s="323" t="s">
        <v>2962</v>
      </c>
      <c r="P752" s="308"/>
      <c r="Q752" s="309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306" t="s">
        <v>2961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306" t="s">
        <v>2961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306" t="s">
        <v>2961</v>
      </c>
      <c r="Z752" t="str">
        <f>IFERROR(VLOOKUP(ROWS($Z$3:Z752),$X$3:$Y$992,2,0),"")</f>
        <v>Činnosti zástupců pojišťovny a makléřů</v>
      </c>
    </row>
    <row r="753" spans="13:26">
      <c r="M753" s="305">
        <f>IF(ISNUMBER(SEARCH(ZAKL_DATA!$B$29,N753)),MAX($M$2:M752)+1,0)</f>
        <v>751</v>
      </c>
      <c r="N753" s="306" t="s">
        <v>2963</v>
      </c>
      <c r="O753" s="323" t="s">
        <v>2964</v>
      </c>
      <c r="P753" s="308"/>
      <c r="Q753" s="309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306" t="s">
        <v>2963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306" t="s">
        <v>2963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306" t="s">
        <v>2963</v>
      </c>
      <c r="Z753" t="str">
        <f>IFERROR(VLOOKUP(ROWS($Z$3:Z753),$X$3:$Y$992,2,0),"")</f>
        <v>Ostatní pomocné činnosti související s pojišťovnictvím a penz.fin.</v>
      </c>
    </row>
    <row r="754" spans="13:26">
      <c r="M754" s="305">
        <f>IF(ISNUMBER(SEARCH(ZAKL_DATA!$B$29,N754)),MAX($M$2:M753)+1,0)</f>
        <v>752</v>
      </c>
      <c r="N754" s="306" t="s">
        <v>2965</v>
      </c>
      <c r="O754" s="323" t="s">
        <v>2966</v>
      </c>
      <c r="P754" s="308"/>
      <c r="Q754" s="309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306" t="s">
        <v>2965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306" t="s">
        <v>2965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306" t="s">
        <v>2965</v>
      </c>
      <c r="Z754" t="str">
        <f>IFERROR(VLOOKUP(ROWS($Z$3:Z754),$X$3:$Y$992,2,0),"")</f>
        <v>Zprostředkovatelské činnosti realitních agentur</v>
      </c>
    </row>
    <row r="755" spans="13:26">
      <c r="M755" s="305">
        <f>IF(ISNUMBER(SEARCH(ZAKL_DATA!$B$29,N755)),MAX($M$2:M754)+1,0)</f>
        <v>753</v>
      </c>
      <c r="N755" s="306" t="s">
        <v>2967</v>
      </c>
      <c r="O755" s="323" t="s">
        <v>2968</v>
      </c>
      <c r="P755" s="308"/>
      <c r="Q755" s="309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306" t="s">
        <v>2967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306" t="s">
        <v>2967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306" t="s">
        <v>2967</v>
      </c>
      <c r="Z755" t="str">
        <f>IFERROR(VLOOKUP(ROWS($Z$3:Z755),$X$3:$Y$992,2,0),"")</f>
        <v>Správa nemovitostí na základě smlouvy</v>
      </c>
    </row>
    <row r="756" spans="13:26">
      <c r="M756" s="305">
        <f>IF(ISNUMBER(SEARCH(ZAKL_DATA!$B$29,N756)),MAX($M$2:M755)+1,0)</f>
        <v>754</v>
      </c>
      <c r="N756" s="306" t="s">
        <v>2969</v>
      </c>
      <c r="O756" s="323" t="s">
        <v>2970</v>
      </c>
      <c r="P756" s="308"/>
      <c r="Q756" s="309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306" t="s">
        <v>2969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306" t="s">
        <v>2969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306" t="s">
        <v>2969</v>
      </c>
      <c r="Z756" t="str">
        <f>IFERROR(VLOOKUP(ROWS($Z$3:Z756),$X$3:$Y$992,2,0),"")</f>
        <v>Poradenství v oblasti vztahů s veřejností a komunikace</v>
      </c>
    </row>
    <row r="757" spans="13:26">
      <c r="M757" s="305">
        <f>IF(ISNUMBER(SEARCH(ZAKL_DATA!$B$29,N757)),MAX($M$2:M756)+1,0)</f>
        <v>755</v>
      </c>
      <c r="N757" s="306" t="s">
        <v>2971</v>
      </c>
      <c r="O757" s="323" t="s">
        <v>2972</v>
      </c>
      <c r="P757" s="308"/>
      <c r="Q757" s="309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306" t="s">
        <v>2971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306" t="s">
        <v>2971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306" t="s">
        <v>2971</v>
      </c>
      <c r="Z757" t="str">
        <f>IFERROR(VLOOKUP(ROWS($Z$3:Z757),$X$3:$Y$992,2,0),"")</f>
        <v>Ostatní poradenství v oblasti podnikání a řízení</v>
      </c>
    </row>
    <row r="758" spans="13:26">
      <c r="M758" s="305">
        <f>IF(ISNUMBER(SEARCH(ZAKL_DATA!$B$29,N758)),MAX($M$2:M757)+1,0)</f>
        <v>756</v>
      </c>
      <c r="N758" s="306" t="s">
        <v>2973</v>
      </c>
      <c r="O758" s="323" t="s">
        <v>2974</v>
      </c>
      <c r="P758" s="308"/>
      <c r="Q758" s="309" t="str">
        <f>IFERROR(VLOOKUP(ROWS($Q$3:Q758),$M$3:$N$992,2,0),"")</f>
        <v>Těžba železných rud</v>
      </c>
      <c r="R758">
        <f>IF(ISNUMBER(SEARCH('1Př1'!$A$32,N758)),MAX($M$2:M757)+1,0)</f>
        <v>756</v>
      </c>
      <c r="S758" s="306" t="s">
        <v>2973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306" t="s">
        <v>2973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306" t="s">
        <v>2973</v>
      </c>
      <c r="Z758" t="str">
        <f>IFERROR(VLOOKUP(ROWS($Z$3:Z758),$X$3:$Y$992,2,0),"")</f>
        <v>Těžba železných rud</v>
      </c>
    </row>
    <row r="759" spans="13:26">
      <c r="M759" s="305">
        <f>IF(ISNUMBER(SEARCH(ZAKL_DATA!$B$29,N759)),MAX($M$2:M758)+1,0)</f>
        <v>757</v>
      </c>
      <c r="N759" s="306" t="s">
        <v>2975</v>
      </c>
      <c r="O759" s="323" t="s">
        <v>2976</v>
      </c>
      <c r="P759" s="308"/>
      <c r="Q759" s="309" t="str">
        <f>IFERROR(VLOOKUP(ROWS($Q$3:Q759),$M$3:$N$992,2,0),"")</f>
        <v>Úprava železných rud</v>
      </c>
      <c r="R759">
        <f>IF(ISNUMBER(SEARCH('1Př1'!$A$32,N759)),MAX($M$2:M758)+1,0)</f>
        <v>757</v>
      </c>
      <c r="S759" s="306" t="s">
        <v>2975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306" t="s">
        <v>2975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306" t="s">
        <v>2975</v>
      </c>
      <c r="Z759" t="str">
        <f>IFERROR(VLOOKUP(ROWS($Z$3:Z759),$X$3:$Y$992,2,0),"")</f>
        <v>Úprava železných rud</v>
      </c>
    </row>
    <row r="760" spans="13:26">
      <c r="M760" s="305">
        <f>IF(ISNUMBER(SEARCH(ZAKL_DATA!$B$29,N760)),MAX($M$2:M759)+1,0)</f>
        <v>758</v>
      </c>
      <c r="N760" s="306" t="s">
        <v>2977</v>
      </c>
      <c r="O760" s="323" t="s">
        <v>2978</v>
      </c>
      <c r="P760" s="308"/>
      <c r="Q760" s="309" t="str">
        <f>IFERROR(VLOOKUP(ROWS($Q$3:Q760),$M$3:$N$992,2,0),"")</f>
        <v>Architektonické činnosti</v>
      </c>
      <c r="R760">
        <f>IF(ISNUMBER(SEARCH('1Př1'!$A$32,N760)),MAX($M$2:M759)+1,0)</f>
        <v>758</v>
      </c>
      <c r="S760" s="306" t="s">
        <v>2977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306" t="s">
        <v>2977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306" t="s">
        <v>2977</v>
      </c>
      <c r="Z760" t="str">
        <f>IFERROR(VLOOKUP(ROWS($Z$3:Z760),$X$3:$Y$992,2,0),"")</f>
        <v>Architektonické činnosti</v>
      </c>
    </row>
    <row r="761" spans="13:26">
      <c r="M761" s="305">
        <f>IF(ISNUMBER(SEARCH(ZAKL_DATA!$B$29,N761)),MAX($M$2:M760)+1,0)</f>
        <v>759</v>
      </c>
      <c r="N761" s="306" t="s">
        <v>2979</v>
      </c>
      <c r="O761" s="323" t="s">
        <v>2980</v>
      </c>
      <c r="P761" s="308"/>
      <c r="Q761" s="309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306" t="s">
        <v>2979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306" t="s">
        <v>2979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306" t="s">
        <v>2979</v>
      </c>
      <c r="Z761" t="str">
        <f>IFERROR(VLOOKUP(ROWS($Z$3:Z761),$X$3:$Y$992,2,0),"")</f>
        <v>Inženýrské činnosti a související technické poradenství</v>
      </c>
    </row>
    <row r="762" spans="13:26">
      <c r="M762" s="305">
        <f>IF(ISNUMBER(SEARCH(ZAKL_DATA!$B$29,N762)),MAX($M$2:M761)+1,0)</f>
        <v>760</v>
      </c>
      <c r="N762" s="306" t="s">
        <v>2981</v>
      </c>
      <c r="O762" s="323" t="s">
        <v>2982</v>
      </c>
      <c r="P762" s="308"/>
      <c r="Q762" s="309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306" t="s">
        <v>2981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306" t="s">
        <v>2981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306" t="s">
        <v>2981</v>
      </c>
      <c r="Z762" t="str">
        <f>IFERROR(VLOOKUP(ROWS($Z$3:Z762),$X$3:$Y$992,2,0),"")</f>
        <v>Výzkum a vývoj v oblasti biotechnologie</v>
      </c>
    </row>
    <row r="763" spans="13:26">
      <c r="M763" s="305">
        <f>IF(ISNUMBER(SEARCH(ZAKL_DATA!$B$29,N763)),MAX($M$2:M762)+1,0)</f>
        <v>761</v>
      </c>
      <c r="N763" s="306" t="s">
        <v>2983</v>
      </c>
      <c r="O763" s="323" t="s">
        <v>2984</v>
      </c>
      <c r="P763" s="308"/>
      <c r="Q763" s="309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306" t="s">
        <v>2983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306" t="s">
        <v>2983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306" t="s">
        <v>2983</v>
      </c>
      <c r="Z763" t="str">
        <f>IFERROR(VLOOKUP(ROWS($Z$3:Z763),$X$3:$Y$992,2,0),"")</f>
        <v>Těžba uranových a thoriových rud</v>
      </c>
    </row>
    <row r="764" spans="13:26">
      <c r="M764" s="305">
        <f>IF(ISNUMBER(SEARCH(ZAKL_DATA!$B$29,N764)),MAX($M$2:M763)+1,0)</f>
        <v>762</v>
      </c>
      <c r="N764" s="306" t="s">
        <v>2985</v>
      </c>
      <c r="O764" s="323" t="s">
        <v>2986</v>
      </c>
      <c r="P764" s="308"/>
      <c r="Q764" s="309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306" t="s">
        <v>2985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306" t="s">
        <v>2985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306" t="s">
        <v>2985</v>
      </c>
      <c r="Z764" t="str">
        <f>IFERROR(VLOOKUP(ROWS($Z$3:Z764),$X$3:$Y$992,2,0),"")</f>
        <v>Úprava uranových a thoriových rud</v>
      </c>
    </row>
    <row r="765" spans="13:26">
      <c r="M765" s="305">
        <f>IF(ISNUMBER(SEARCH(ZAKL_DATA!$B$29,N765)),MAX($M$2:M764)+1,0)</f>
        <v>763</v>
      </c>
      <c r="N765" s="306" t="s">
        <v>2987</v>
      </c>
      <c r="O765" s="323" t="s">
        <v>2988</v>
      </c>
      <c r="P765" s="308"/>
      <c r="Q765" s="309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306" t="s">
        <v>2987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306" t="s">
        <v>2987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306" t="s">
        <v>2987</v>
      </c>
      <c r="Z765" t="str">
        <f>IFERROR(VLOOKUP(ROWS($Z$3:Z765),$X$3:$Y$992,2,0),"")</f>
        <v>Ostatní výzkum a vývoj voblasti přírodních atechnických věd</v>
      </c>
    </row>
    <row r="766" spans="13:26">
      <c r="M766" s="305">
        <f>IF(ISNUMBER(SEARCH(ZAKL_DATA!$B$29,N766)),MAX($M$2:M765)+1,0)</f>
        <v>764</v>
      </c>
      <c r="N766" s="306" t="s">
        <v>2989</v>
      </c>
      <c r="O766" s="323" t="s">
        <v>2990</v>
      </c>
      <c r="P766" s="308"/>
      <c r="Q766" s="309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306" t="s">
        <v>2989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306" t="s">
        <v>2989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306" t="s">
        <v>2989</v>
      </c>
      <c r="Z766" t="str">
        <f>IFERROR(VLOOKUP(ROWS($Z$3:Z766),$X$3:$Y$992,2,0),"")</f>
        <v>Těžba ostatních neželezných rud</v>
      </c>
    </row>
    <row r="767" spans="13:26">
      <c r="M767" s="305">
        <f>IF(ISNUMBER(SEARCH(ZAKL_DATA!$B$29,N767)),MAX($M$2:M766)+1,0)</f>
        <v>765</v>
      </c>
      <c r="N767" s="306" t="s">
        <v>2991</v>
      </c>
      <c r="O767" s="323" t="s">
        <v>2992</v>
      </c>
      <c r="P767" s="308"/>
      <c r="Q767" s="309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306" t="s">
        <v>2991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306" t="s">
        <v>2991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306" t="s">
        <v>2991</v>
      </c>
      <c r="Z767" t="str">
        <f>IFERROR(VLOOKUP(ROWS($Z$3:Z767),$X$3:$Y$992,2,0),"")</f>
        <v>Úprava ostatních neželezných rud</v>
      </c>
    </row>
    <row r="768" spans="13:26">
      <c r="M768" s="305">
        <f>IF(ISNUMBER(SEARCH(ZAKL_DATA!$B$29,N768)),MAX($M$2:M767)+1,0)</f>
        <v>766</v>
      </c>
      <c r="N768" s="306" t="s">
        <v>2993</v>
      </c>
      <c r="O768" s="323" t="s">
        <v>2994</v>
      </c>
      <c r="P768" s="308"/>
      <c r="Q768" s="309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306" t="s">
        <v>2993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306" t="s">
        <v>2993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306" t="s">
        <v>2993</v>
      </c>
      <c r="Z768" t="str">
        <f>IFERROR(VLOOKUP(ROWS($Z$3:Z768),$X$3:$Y$992,2,0),"")</f>
        <v>Činnosti reklamních agentur</v>
      </c>
    </row>
    <row r="769" spans="13:26">
      <c r="M769" s="305">
        <f>IF(ISNUMBER(SEARCH(ZAKL_DATA!$B$29,N769)),MAX($M$2:M768)+1,0)</f>
        <v>767</v>
      </c>
      <c r="N769" s="306" t="s">
        <v>2995</v>
      </c>
      <c r="O769" s="323" t="s">
        <v>2996</v>
      </c>
      <c r="P769" s="308"/>
      <c r="Q769" s="309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306" t="s">
        <v>2995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306" t="s">
        <v>2995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306" t="s">
        <v>2995</v>
      </c>
      <c r="Z769" t="str">
        <f>IFERROR(VLOOKUP(ROWS($Z$3:Z769),$X$3:$Y$992,2,0),"")</f>
        <v>Zastupování médií při prodeji reklamního času a prostoru</v>
      </c>
    </row>
    <row r="770" spans="13:26">
      <c r="M770" s="305">
        <f>IF(ISNUMBER(SEARCH(ZAKL_DATA!$B$29,N770)),MAX($M$2:M769)+1,0)</f>
        <v>768</v>
      </c>
      <c r="N770" s="306" t="s">
        <v>2997</v>
      </c>
      <c r="O770" s="323" t="s">
        <v>2998</v>
      </c>
      <c r="P770" s="308"/>
      <c r="Q770" s="309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306" t="s">
        <v>2997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306" t="s">
        <v>2997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306" t="s">
        <v>2997</v>
      </c>
      <c r="Z770" t="str">
        <f>IFERROR(VLOOKUP(ROWS($Z$3:Z770),$X$3:$Y$992,2,0),"")</f>
        <v>Pronájem a leasing automob.a jiných lehkých motor.vozidel,kromě motocyklů</v>
      </c>
    </row>
    <row r="771" spans="13:26">
      <c r="M771" s="305">
        <f>IF(ISNUMBER(SEARCH(ZAKL_DATA!$B$29,N771)),MAX($M$2:M770)+1,0)</f>
        <v>769</v>
      </c>
      <c r="N771" s="306" t="s">
        <v>2999</v>
      </c>
      <c r="O771" s="323" t="s">
        <v>3000</v>
      </c>
      <c r="P771" s="308"/>
      <c r="Q771" s="309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306" t="s">
        <v>2999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306" t="s">
        <v>2999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306" t="s">
        <v>2999</v>
      </c>
      <c r="Z771" t="str">
        <f>IFERROR(VLOOKUP(ROWS($Z$3:Z771),$X$3:$Y$992,2,0),"")</f>
        <v>Pronájem a leasing nákladních automobilů</v>
      </c>
    </row>
    <row r="772" spans="13:26">
      <c r="M772" s="305">
        <f>IF(ISNUMBER(SEARCH(ZAKL_DATA!$B$29,N772)),MAX($M$2:M771)+1,0)</f>
        <v>770</v>
      </c>
      <c r="N772" s="306" t="s">
        <v>3001</v>
      </c>
      <c r="O772" s="323" t="s">
        <v>3002</v>
      </c>
      <c r="P772" s="308"/>
      <c r="Q772" s="309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306" t="s">
        <v>3001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306" t="s">
        <v>3001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306" t="s">
        <v>3001</v>
      </c>
      <c r="Z772" t="str">
        <f>IFERROR(VLOOKUP(ROWS($Z$3:Z772),$X$3:$Y$992,2,0),"")</f>
        <v>Pronájem a leasing rekreačních a sportovních potřeb</v>
      </c>
    </row>
    <row r="773" spans="13:26">
      <c r="M773" s="305">
        <f>IF(ISNUMBER(SEARCH(ZAKL_DATA!$B$29,N773)),MAX($M$2:M772)+1,0)</f>
        <v>771</v>
      </c>
      <c r="N773" s="306" t="s">
        <v>3003</v>
      </c>
      <c r="O773" s="323" t="s">
        <v>3004</v>
      </c>
      <c r="P773" s="308"/>
      <c r="Q773" s="309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306" t="s">
        <v>3003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306" t="s">
        <v>3003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306" t="s">
        <v>3003</v>
      </c>
      <c r="Z773" t="str">
        <f>IFERROR(VLOOKUP(ROWS($Z$3:Z773),$X$3:$Y$992,2,0),"")</f>
        <v>Pronájem videokazet a disků</v>
      </c>
    </row>
    <row r="774" spans="13:26">
      <c r="M774" s="305">
        <f>IF(ISNUMBER(SEARCH(ZAKL_DATA!$B$29,N774)),MAX($M$2:M773)+1,0)</f>
        <v>772</v>
      </c>
      <c r="N774" s="306" t="s">
        <v>3005</v>
      </c>
      <c r="O774" s="323" t="s">
        <v>3006</v>
      </c>
      <c r="P774" s="308"/>
      <c r="Q774" s="309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306" t="s">
        <v>3005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306" t="s">
        <v>3005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306" t="s">
        <v>3005</v>
      </c>
      <c r="Z774" t="str">
        <f>IFERROR(VLOOKUP(ROWS($Z$3:Z774),$X$3:$Y$992,2,0),"")</f>
        <v>Pronájem a leasing ost.výrobků pro osob.potřebu a převážně pro domácnost</v>
      </c>
    </row>
    <row r="775" spans="13:26">
      <c r="M775" s="305">
        <f>IF(ISNUMBER(SEARCH(ZAKL_DATA!$B$29,N775)),MAX($M$2:M774)+1,0)</f>
        <v>773</v>
      </c>
      <c r="N775" s="306" t="s">
        <v>3007</v>
      </c>
      <c r="O775" s="323" t="s">
        <v>3008</v>
      </c>
      <c r="P775" s="308"/>
      <c r="Q775" s="309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306" t="s">
        <v>3007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306" t="s">
        <v>3007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306" t="s">
        <v>3007</v>
      </c>
      <c r="Z775" t="str">
        <f>IFERROR(VLOOKUP(ROWS($Z$3:Z775),$X$3:$Y$992,2,0),"")</f>
        <v>Pronájem a leasing zemědělských strojů a zařízení</v>
      </c>
    </row>
    <row r="776" spans="13:26">
      <c r="M776" s="305">
        <f>IF(ISNUMBER(SEARCH(ZAKL_DATA!$B$29,N776)),MAX($M$2:M775)+1,0)</f>
        <v>774</v>
      </c>
      <c r="N776" s="306" t="s">
        <v>3009</v>
      </c>
      <c r="O776" s="323" t="s">
        <v>3010</v>
      </c>
      <c r="P776" s="308"/>
      <c r="Q776" s="309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306" t="s">
        <v>3009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306" t="s">
        <v>3009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306" t="s">
        <v>3009</v>
      </c>
      <c r="Z776" t="str">
        <f>IFERROR(VLOOKUP(ROWS($Z$3:Z776),$X$3:$Y$992,2,0),"")</f>
        <v>Pronájem a leasing stavebních strojů a zařízení</v>
      </c>
    </row>
    <row r="777" spans="13:26">
      <c r="M777" s="305">
        <f>IF(ISNUMBER(SEARCH(ZAKL_DATA!$B$29,N777)),MAX($M$2:M776)+1,0)</f>
        <v>775</v>
      </c>
      <c r="N777" s="306" t="s">
        <v>3011</v>
      </c>
      <c r="O777" s="323" t="s">
        <v>3012</v>
      </c>
      <c r="P777" s="308"/>
      <c r="Q777" s="309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306" t="s">
        <v>3011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306" t="s">
        <v>3011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306" t="s">
        <v>3011</v>
      </c>
      <c r="Z777" t="str">
        <f>IFERROR(VLOOKUP(ROWS($Z$3:Z777),$X$3:$Y$992,2,0),"")</f>
        <v>Pronájem a leasing kancelářských strojů a zařízení, včetně počítačů</v>
      </c>
    </row>
    <row r="778" spans="13:26">
      <c r="M778" s="305">
        <f>IF(ISNUMBER(SEARCH(ZAKL_DATA!$B$29,N778)),MAX($M$2:M777)+1,0)</f>
        <v>776</v>
      </c>
      <c r="N778" s="306" t="s">
        <v>3013</v>
      </c>
      <c r="O778" s="323" t="s">
        <v>3014</v>
      </c>
      <c r="P778" s="308"/>
      <c r="Q778" s="309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306" t="s">
        <v>3013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306" t="s">
        <v>3013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306" t="s">
        <v>3013</v>
      </c>
      <c r="Z778" t="str">
        <f>IFERROR(VLOOKUP(ROWS($Z$3:Z778),$X$3:$Y$992,2,0),"")</f>
        <v>Pronájem a leasing vodních dopravních prostředků</v>
      </c>
    </row>
    <row r="779" spans="13:26">
      <c r="M779" s="305">
        <f>IF(ISNUMBER(SEARCH(ZAKL_DATA!$B$29,N779)),MAX($M$2:M778)+1,0)</f>
        <v>777</v>
      </c>
      <c r="N779" s="306" t="s">
        <v>3015</v>
      </c>
      <c r="O779" s="323" t="s">
        <v>3016</v>
      </c>
      <c r="P779" s="308"/>
      <c r="Q779" s="309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306" t="s">
        <v>3015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306" t="s">
        <v>3015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306" t="s">
        <v>3015</v>
      </c>
      <c r="Z779" t="str">
        <f>IFERROR(VLOOKUP(ROWS($Z$3:Z779),$X$3:$Y$992,2,0),"")</f>
        <v>Pronájem a leasing leteckých dopravních prostředků</v>
      </c>
    </row>
    <row r="780" spans="13:26">
      <c r="M780" s="305">
        <f>IF(ISNUMBER(SEARCH(ZAKL_DATA!$B$29,N780)),MAX($M$2:M779)+1,0)</f>
        <v>778</v>
      </c>
      <c r="N780" s="306" t="s">
        <v>3017</v>
      </c>
      <c r="O780" s="323" t="s">
        <v>3018</v>
      </c>
      <c r="P780" s="308"/>
      <c r="Q780" s="309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306" t="s">
        <v>3017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306" t="s">
        <v>3017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306" t="s">
        <v>3017</v>
      </c>
      <c r="Z780" t="str">
        <f>IFERROR(VLOOKUP(ROWS($Z$3:Z780),$X$3:$Y$992,2,0),"")</f>
        <v>Pronájem a leasing ostatních strojů, zařízení a výrobků j. n.</v>
      </c>
    </row>
    <row r="781" spans="13:26">
      <c r="M781" s="305">
        <f>IF(ISNUMBER(SEARCH(ZAKL_DATA!$B$29,N781)),MAX($M$2:M780)+1,0)</f>
        <v>779</v>
      </c>
      <c r="N781" s="306" t="s">
        <v>3019</v>
      </c>
      <c r="O781" s="323" t="s">
        <v>3020</v>
      </c>
      <c r="P781" s="308"/>
      <c r="Q781" s="309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306" t="s">
        <v>3019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306" t="s">
        <v>3019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306" t="s">
        <v>3019</v>
      </c>
      <c r="Z781" t="str">
        <f>IFERROR(VLOOKUP(ROWS($Z$3:Z781),$X$3:$Y$992,2,0),"")</f>
        <v>Činnosti cestovních agentur</v>
      </c>
    </row>
    <row r="782" spans="13:26">
      <c r="M782" s="305">
        <f>IF(ISNUMBER(SEARCH(ZAKL_DATA!$B$29,N782)),MAX($M$2:M781)+1,0)</f>
        <v>780</v>
      </c>
      <c r="N782" s="306" t="s">
        <v>3021</v>
      </c>
      <c r="O782" s="323" t="s">
        <v>3022</v>
      </c>
      <c r="P782" s="308"/>
      <c r="Q782" s="309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306" t="s">
        <v>3021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306" t="s">
        <v>3021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306" t="s">
        <v>3021</v>
      </c>
      <c r="Z782" t="str">
        <f>IFERROR(VLOOKUP(ROWS($Z$3:Z782),$X$3:$Y$992,2,0),"")</f>
        <v>Činnosti cestovních kanceláří</v>
      </c>
    </row>
    <row r="783" spans="13:26">
      <c r="M783" s="305">
        <f>IF(ISNUMBER(SEARCH(ZAKL_DATA!$B$29,N783)),MAX($M$2:M782)+1,0)</f>
        <v>781</v>
      </c>
      <c r="N783" s="306" t="s">
        <v>3023</v>
      </c>
      <c r="O783" s="323" t="s">
        <v>3024</v>
      </c>
      <c r="P783" s="308"/>
      <c r="Q783" s="309" t="str">
        <f>IFERROR(VLOOKUP(ROWS($Q$3:Q783),$M$3:$N$992,2,0),"")</f>
        <v>Všeobecný úklid budov</v>
      </c>
      <c r="R783">
        <f>IF(ISNUMBER(SEARCH('1Př1'!$A$32,N783)),MAX($M$2:M782)+1,0)</f>
        <v>781</v>
      </c>
      <c r="S783" s="306" t="s">
        <v>3023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306" t="s">
        <v>3023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306" t="s">
        <v>3023</v>
      </c>
      <c r="Z783" t="str">
        <f>IFERROR(VLOOKUP(ROWS($Z$3:Z783),$X$3:$Y$992,2,0),"")</f>
        <v>Všeobecný úklid budov</v>
      </c>
    </row>
    <row r="784" spans="13:26">
      <c r="M784" s="305">
        <f>IF(ISNUMBER(SEARCH(ZAKL_DATA!$B$29,N784)),MAX($M$2:M783)+1,0)</f>
        <v>782</v>
      </c>
      <c r="N784" s="306" t="s">
        <v>3025</v>
      </c>
      <c r="O784" s="323" t="s">
        <v>3026</v>
      </c>
      <c r="P784" s="308"/>
      <c r="Q784" s="309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306" t="s">
        <v>3025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306" t="s">
        <v>3025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306" t="s">
        <v>3025</v>
      </c>
      <c r="Z784" t="str">
        <f>IFERROR(VLOOKUP(ROWS($Z$3:Z784),$X$3:$Y$992,2,0),"")</f>
        <v>Specializované čištění a úklid budov a průmyslových zařízení</v>
      </c>
    </row>
    <row r="785" spans="13:26">
      <c r="M785" s="305">
        <f>IF(ISNUMBER(SEARCH(ZAKL_DATA!$B$29,N785)),MAX($M$2:M784)+1,0)</f>
        <v>783</v>
      </c>
      <c r="N785" s="306" t="s">
        <v>3027</v>
      </c>
      <c r="O785" s="323" t="s">
        <v>3028</v>
      </c>
      <c r="P785" s="308"/>
      <c r="Q785" s="309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306" t="s">
        <v>3027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306" t="s">
        <v>3027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306" t="s">
        <v>3027</v>
      </c>
      <c r="Z785" t="str">
        <f>IFERROR(VLOOKUP(ROWS($Z$3:Z785),$X$3:$Y$992,2,0),"")</f>
        <v>Ostatní úklidové činnosti</v>
      </c>
    </row>
    <row r="786" spans="13:26">
      <c r="M786" s="305">
        <f>IF(ISNUMBER(SEARCH(ZAKL_DATA!$B$29,N786)),MAX($M$2:M785)+1,0)</f>
        <v>784</v>
      </c>
      <c r="N786" s="306" t="s">
        <v>3029</v>
      </c>
      <c r="O786" s="323" t="s">
        <v>3030</v>
      </c>
      <c r="P786" s="308"/>
      <c r="Q786" s="309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306" t="s">
        <v>3029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306" t="s">
        <v>3029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306" t="s">
        <v>3029</v>
      </c>
      <c r="Z786" t="str">
        <f>IFERROR(VLOOKUP(ROWS($Z$3:Z786),$X$3:$Y$992,2,0),"")</f>
        <v>Univerzální administrativní činnosti</v>
      </c>
    </row>
    <row r="787" spans="13:26">
      <c r="M787" s="305">
        <f>IF(ISNUMBER(SEARCH(ZAKL_DATA!$B$29,N787)),MAX($M$2:M786)+1,0)</f>
        <v>785</v>
      </c>
      <c r="N787" s="306" t="s">
        <v>3031</v>
      </c>
      <c r="O787" s="323" t="s">
        <v>3032</v>
      </c>
      <c r="P787" s="308"/>
      <c r="Q787" s="309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306" t="s">
        <v>3031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306" t="s">
        <v>3031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306" t="s">
        <v>3031</v>
      </c>
      <c r="Z787" t="str">
        <f>IFERROR(VLOOKUP(ROWS($Z$3:Z787),$X$3:$Y$992,2,0),"")</f>
        <v>Kopírování,příprava dokumentů a ost.specializ.kancel.podpůrné činnosti</v>
      </c>
    </row>
    <row r="788" spans="13:26">
      <c r="M788" s="305">
        <f>IF(ISNUMBER(SEARCH(ZAKL_DATA!$B$29,N788)),MAX($M$2:M787)+1,0)</f>
        <v>786</v>
      </c>
      <c r="N788" s="306" t="s">
        <v>3033</v>
      </c>
      <c r="O788" s="323" t="s">
        <v>3034</v>
      </c>
      <c r="P788" s="308"/>
      <c r="Q788" s="309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306" t="s">
        <v>3033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306" t="s">
        <v>3033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306" t="s">
        <v>3033</v>
      </c>
      <c r="Z788" t="str">
        <f>IFERROR(VLOOKUP(ROWS($Z$3:Z788),$X$3:$Y$992,2,0),"")</f>
        <v>Inkasní činnosti, ověřování solventnosti zákazníka</v>
      </c>
    </row>
    <row r="789" spans="13:26">
      <c r="M789" s="305">
        <f>IF(ISNUMBER(SEARCH(ZAKL_DATA!$B$29,N789)),MAX($M$2:M788)+1,0)</f>
        <v>787</v>
      </c>
      <c r="N789" s="306" t="s">
        <v>3035</v>
      </c>
      <c r="O789" s="323" t="s">
        <v>3036</v>
      </c>
      <c r="P789" s="308"/>
      <c r="Q789" s="309" t="str">
        <f>IFERROR(VLOOKUP(ROWS($Q$3:Q789),$M$3:$N$992,2,0),"")</f>
        <v>Balicí činnosti</v>
      </c>
      <c r="R789">
        <f>IF(ISNUMBER(SEARCH('1Př1'!$A$32,N789)),MAX($M$2:M788)+1,0)</f>
        <v>787</v>
      </c>
      <c r="S789" s="306" t="s">
        <v>3035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306" t="s">
        <v>3035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306" t="s">
        <v>3035</v>
      </c>
      <c r="Z789" t="str">
        <f>IFERROR(VLOOKUP(ROWS($Z$3:Z789),$X$3:$Y$992,2,0),"")</f>
        <v>Balicí činnosti</v>
      </c>
    </row>
    <row r="790" spans="13:26">
      <c r="M790" s="305">
        <f>IF(ISNUMBER(SEARCH(ZAKL_DATA!$B$29,N790)),MAX($M$2:M789)+1,0)</f>
        <v>788</v>
      </c>
      <c r="N790" s="306" t="s">
        <v>3037</v>
      </c>
      <c r="O790" s="323" t="s">
        <v>3038</v>
      </c>
      <c r="P790" s="308"/>
      <c r="Q790" s="309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306" t="s">
        <v>3037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306" t="s">
        <v>3037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306" t="s">
        <v>3037</v>
      </c>
      <c r="Z790" t="str">
        <f>IFERROR(VLOOKUP(ROWS($Z$3:Z790),$X$3:$Y$992,2,0),"")</f>
        <v>Ostatní podpůrné činnosti pro podnikání j. n.</v>
      </c>
    </row>
    <row r="791" spans="13:26">
      <c r="M791" s="305">
        <f>IF(ISNUMBER(SEARCH(ZAKL_DATA!$B$29,N791)),MAX($M$2:M790)+1,0)</f>
        <v>789</v>
      </c>
      <c r="N791" s="306" t="s">
        <v>3039</v>
      </c>
      <c r="O791" s="323" t="s">
        <v>3040</v>
      </c>
      <c r="P791" s="308"/>
      <c r="Q791" s="309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306" t="s">
        <v>3039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306" t="s">
        <v>3039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306" t="s">
        <v>3039</v>
      </c>
      <c r="Z791" t="str">
        <f>IFERROR(VLOOKUP(ROWS($Z$3:Z791),$X$3:$Y$992,2,0),"")</f>
        <v>Všeobecné činnosti veřejné správy</v>
      </c>
    </row>
    <row r="792" spans="13:26">
      <c r="M792" s="305">
        <f>IF(ISNUMBER(SEARCH(ZAKL_DATA!$B$29,N792)),MAX($M$2:M791)+1,0)</f>
        <v>790</v>
      </c>
      <c r="N792" s="306" t="s">
        <v>3041</v>
      </c>
      <c r="O792" s="323" t="s">
        <v>3042</v>
      </c>
      <c r="P792" s="308"/>
      <c r="Q792" s="309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306" t="s">
        <v>3041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306" t="s">
        <v>3041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306" t="s">
        <v>3041</v>
      </c>
      <c r="Z792" t="str">
        <f>IFERROR(VLOOKUP(ROWS($Z$3:Z792),$X$3:$Y$992,2,0),"")</f>
        <v>Regul.čin.souvis.s poskyt.zdr.péče,vzděl.,kulturou a soc.péčí,kromě soc.z.</v>
      </c>
    </row>
    <row r="793" spans="13:26">
      <c r="M793" s="305">
        <f>IF(ISNUMBER(SEARCH(ZAKL_DATA!$B$29,N793)),MAX($M$2:M792)+1,0)</f>
        <v>791</v>
      </c>
      <c r="N793" s="306" t="s">
        <v>3043</v>
      </c>
      <c r="O793" s="323" t="s">
        <v>3044</v>
      </c>
      <c r="P793" s="308"/>
      <c r="Q793" s="309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306" t="s">
        <v>3043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306" t="s">
        <v>3043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306" t="s">
        <v>3043</v>
      </c>
      <c r="Z793" t="str">
        <f>IFERROR(VLOOKUP(ROWS($Z$3:Z793),$X$3:$Y$992,2,0),"")</f>
        <v>Regulace a podpora podnikatelského prostředí</v>
      </c>
    </row>
    <row r="794" spans="13:26">
      <c r="M794" s="305">
        <f>IF(ISNUMBER(SEARCH(ZAKL_DATA!$B$29,N794)),MAX($M$2:M793)+1,0)</f>
        <v>792</v>
      </c>
      <c r="N794" s="306" t="s">
        <v>3045</v>
      </c>
      <c r="O794" s="323" t="s">
        <v>3046</v>
      </c>
      <c r="P794" s="308"/>
      <c r="Q794" s="309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306" t="s">
        <v>3045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306" t="s">
        <v>3045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306" t="s">
        <v>3045</v>
      </c>
      <c r="Z794" t="str">
        <f>IFERROR(VLOOKUP(ROWS($Z$3:Z794),$X$3:$Y$992,2,0),"")</f>
        <v>Činnosti v oblasti zahraničních věcí</v>
      </c>
    </row>
    <row r="795" spans="13:26">
      <c r="M795" s="305">
        <f>IF(ISNUMBER(SEARCH(ZAKL_DATA!$B$29,N795)),MAX($M$2:M794)+1,0)</f>
        <v>793</v>
      </c>
      <c r="N795" s="306" t="s">
        <v>3047</v>
      </c>
      <c r="O795" s="323" t="s">
        <v>3048</v>
      </c>
      <c r="P795" s="308"/>
      <c r="Q795" s="309" t="str">
        <f>IFERROR(VLOOKUP(ROWS($Q$3:Q795),$M$3:$N$992,2,0),"")</f>
        <v>Činnosti v oblasti obrany</v>
      </c>
      <c r="R795">
        <f>IF(ISNUMBER(SEARCH('1Př1'!$A$32,N795)),MAX($M$2:M794)+1,0)</f>
        <v>793</v>
      </c>
      <c r="S795" s="306" t="s">
        <v>3047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306" t="s">
        <v>3047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306" t="s">
        <v>3047</v>
      </c>
      <c r="Z795" t="str">
        <f>IFERROR(VLOOKUP(ROWS($Z$3:Z795),$X$3:$Y$992,2,0),"")</f>
        <v>Činnosti v oblasti obrany</v>
      </c>
    </row>
    <row r="796" spans="13:26">
      <c r="M796" s="305">
        <f>IF(ISNUMBER(SEARCH(ZAKL_DATA!$B$29,N796)),MAX($M$2:M795)+1,0)</f>
        <v>794</v>
      </c>
      <c r="N796" s="306" t="s">
        <v>3049</v>
      </c>
      <c r="O796" s="323" t="s">
        <v>3050</v>
      </c>
      <c r="P796" s="308"/>
      <c r="Q796" s="309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306" t="s">
        <v>3049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306" t="s">
        <v>3049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306" t="s">
        <v>3049</v>
      </c>
      <c r="Z796" t="str">
        <f>IFERROR(VLOOKUP(ROWS($Z$3:Z796),$X$3:$Y$992,2,0),"")</f>
        <v>Činnosti v oblasti spravedlnosti a soudnictví</v>
      </c>
    </row>
    <row r="797" spans="13:26">
      <c r="M797" s="305">
        <f>IF(ISNUMBER(SEARCH(ZAKL_DATA!$B$29,N797)),MAX($M$2:M796)+1,0)</f>
        <v>795</v>
      </c>
      <c r="N797" s="306" t="s">
        <v>3051</v>
      </c>
      <c r="O797" s="323" t="s">
        <v>3052</v>
      </c>
      <c r="P797" s="308"/>
      <c r="Q797" s="309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306" t="s">
        <v>3051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306" t="s">
        <v>3051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306" t="s">
        <v>3051</v>
      </c>
      <c r="Z797" t="str">
        <f>IFERROR(VLOOKUP(ROWS($Z$3:Z797),$X$3:$Y$992,2,0),"")</f>
        <v>Činnosti v oblasti veřejného pořádku a bezpečnosti</v>
      </c>
    </row>
    <row r="798" spans="13:26">
      <c r="M798" s="305">
        <f>IF(ISNUMBER(SEARCH(ZAKL_DATA!$B$29,N798)),MAX($M$2:M797)+1,0)</f>
        <v>796</v>
      </c>
      <c r="N798" s="306" t="s">
        <v>3053</v>
      </c>
      <c r="O798" s="323" t="s">
        <v>3054</v>
      </c>
      <c r="P798" s="308"/>
      <c r="Q798" s="309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306" t="s">
        <v>3053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306" t="s">
        <v>3053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306" t="s">
        <v>3053</v>
      </c>
      <c r="Z798" t="str">
        <f>IFERROR(VLOOKUP(ROWS($Z$3:Z798),$X$3:$Y$992,2,0),"")</f>
        <v>Činnosti v oblasti protipožární ochrany</v>
      </c>
    </row>
    <row r="799" spans="13:26">
      <c r="M799" s="305">
        <f>IF(ISNUMBER(SEARCH(ZAKL_DATA!$B$29,N799)),MAX($M$2:M798)+1,0)</f>
        <v>797</v>
      </c>
      <c r="N799" s="306" t="s">
        <v>3055</v>
      </c>
      <c r="O799" s="323" t="s">
        <v>3056</v>
      </c>
      <c r="P799" s="308"/>
      <c r="Q799" s="309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306" t="s">
        <v>3055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306" t="s">
        <v>3055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306" t="s">
        <v>3055</v>
      </c>
      <c r="Z799" t="str">
        <f>IFERROR(VLOOKUP(ROWS($Z$3:Z799),$X$3:$Y$992,2,0),"")</f>
        <v>Sekundární všeobecné vzdělávání</v>
      </c>
    </row>
    <row r="800" spans="13:26">
      <c r="M800" s="305">
        <f>IF(ISNUMBER(SEARCH(ZAKL_DATA!$B$29,N800)),MAX($M$2:M799)+1,0)</f>
        <v>798</v>
      </c>
      <c r="N800" s="306" t="s">
        <v>3057</v>
      </c>
      <c r="O800" s="323" t="s">
        <v>3058</v>
      </c>
      <c r="P800" s="308"/>
      <c r="Q800" s="309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306" t="s">
        <v>3057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306" t="s">
        <v>3057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306" t="s">
        <v>3057</v>
      </c>
      <c r="Z800" t="str">
        <f>IFERROR(VLOOKUP(ROWS($Z$3:Z800),$X$3:$Y$992,2,0),"")</f>
        <v>Sekundární odborné vzdělávání</v>
      </c>
    </row>
    <row r="801" spans="13:26">
      <c r="M801" s="305">
        <f>IF(ISNUMBER(SEARCH(ZAKL_DATA!$B$29,N801)),MAX($M$2:M800)+1,0)</f>
        <v>799</v>
      </c>
      <c r="N801" s="306" t="s">
        <v>3059</v>
      </c>
      <c r="O801" s="323" t="s">
        <v>3060</v>
      </c>
      <c r="P801" s="308"/>
      <c r="Q801" s="309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306" t="s">
        <v>3059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306" t="s">
        <v>3059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306" t="s">
        <v>3059</v>
      </c>
      <c r="Z801" t="str">
        <f>IFERROR(VLOOKUP(ROWS($Z$3:Z801),$X$3:$Y$992,2,0),"")</f>
        <v>Postsekundární nikoli terciární vzdělávání</v>
      </c>
    </row>
    <row r="802" spans="13:26">
      <c r="M802" s="305">
        <f>IF(ISNUMBER(SEARCH(ZAKL_DATA!$B$29,N802)),MAX($M$2:M801)+1,0)</f>
        <v>800</v>
      </c>
      <c r="N802" s="306" t="s">
        <v>3061</v>
      </c>
      <c r="O802" s="323" t="s">
        <v>3062</v>
      </c>
      <c r="P802" s="308"/>
      <c r="Q802" s="309" t="str">
        <f>IFERROR(VLOOKUP(ROWS($Q$3:Q802),$M$3:$N$992,2,0),"")</f>
        <v>Terciární vzdělávání</v>
      </c>
      <c r="R802">
        <f>IF(ISNUMBER(SEARCH('1Př1'!$A$32,N802)),MAX($M$2:M801)+1,0)</f>
        <v>800</v>
      </c>
      <c r="S802" s="306" t="s">
        <v>3061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306" t="s">
        <v>3061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306" t="s">
        <v>3061</v>
      </c>
      <c r="Z802" t="str">
        <f>IFERROR(VLOOKUP(ROWS($Z$3:Z802),$X$3:$Y$992,2,0),"")</f>
        <v>Terciární vzdělávání</v>
      </c>
    </row>
    <row r="803" spans="13:26">
      <c r="M803" s="305">
        <f>IF(ISNUMBER(SEARCH(ZAKL_DATA!$B$29,N803)),MAX($M$2:M802)+1,0)</f>
        <v>801</v>
      </c>
      <c r="N803" s="306" t="s">
        <v>3063</v>
      </c>
      <c r="O803" s="323" t="s">
        <v>3064</v>
      </c>
      <c r="P803" s="308"/>
      <c r="Q803" s="309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306" t="s">
        <v>3063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306" t="s">
        <v>3063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306" t="s">
        <v>3063</v>
      </c>
      <c r="Z803" t="str">
        <f>IFERROR(VLOOKUP(ROWS($Z$3:Z803),$X$3:$Y$992,2,0),"")</f>
        <v>Sportovní a rekreační vzdělávání</v>
      </c>
    </row>
    <row r="804" spans="13:26">
      <c r="M804" s="305">
        <f>IF(ISNUMBER(SEARCH(ZAKL_DATA!$B$29,N804)),MAX($M$2:M803)+1,0)</f>
        <v>802</v>
      </c>
      <c r="N804" s="306" t="s">
        <v>3065</v>
      </c>
      <c r="O804" s="323" t="s">
        <v>3066</v>
      </c>
      <c r="P804" s="308"/>
      <c r="Q804" s="309" t="str">
        <f>IFERROR(VLOOKUP(ROWS($Q$3:Q804),$M$3:$N$992,2,0),"")</f>
        <v>Umělecké vzdělávání</v>
      </c>
      <c r="R804">
        <f>IF(ISNUMBER(SEARCH('1Př1'!$A$32,N804)),MAX($M$2:M803)+1,0)</f>
        <v>802</v>
      </c>
      <c r="S804" s="306" t="s">
        <v>3065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306" t="s">
        <v>3065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306" t="s">
        <v>3065</v>
      </c>
      <c r="Z804" t="str">
        <f>IFERROR(VLOOKUP(ROWS($Z$3:Z804),$X$3:$Y$992,2,0),"")</f>
        <v>Umělecké vzdělávání</v>
      </c>
    </row>
    <row r="805" spans="13:26">
      <c r="M805" s="305">
        <f>IF(ISNUMBER(SEARCH(ZAKL_DATA!$B$29,N805)),MAX($M$2:M804)+1,0)</f>
        <v>803</v>
      </c>
      <c r="N805" s="306" t="s">
        <v>3067</v>
      </c>
      <c r="O805" s="323" t="s">
        <v>3068</v>
      </c>
      <c r="P805" s="308"/>
      <c r="Q805" s="309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306" t="s">
        <v>3067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306" t="s">
        <v>3067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306" t="s">
        <v>3067</v>
      </c>
      <c r="Z805" t="str">
        <f>IFERROR(VLOOKUP(ROWS($Z$3:Z805),$X$3:$Y$992,2,0),"")</f>
        <v>Činnosti autoškol a jiných škol řízení</v>
      </c>
    </row>
    <row r="806" spans="13:26">
      <c r="M806" s="305">
        <f>IF(ISNUMBER(SEARCH(ZAKL_DATA!$B$29,N806)),MAX($M$2:M805)+1,0)</f>
        <v>804</v>
      </c>
      <c r="N806" s="306" t="s">
        <v>3069</v>
      </c>
      <c r="O806" s="323" t="s">
        <v>3070</v>
      </c>
      <c r="P806" s="308"/>
      <c r="Q806" s="309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306" t="s">
        <v>3069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306" t="s">
        <v>3069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306" t="s">
        <v>3069</v>
      </c>
      <c r="Z806" t="str">
        <f>IFERROR(VLOOKUP(ROWS($Z$3:Z806),$X$3:$Y$992,2,0),"")</f>
        <v>Ostatní vzdělávání j. n.</v>
      </c>
    </row>
    <row r="807" spans="13:26">
      <c r="M807" s="305">
        <f>IF(ISNUMBER(SEARCH(ZAKL_DATA!$B$29,N807)),MAX($M$2:M806)+1,0)</f>
        <v>805</v>
      </c>
      <c r="N807" s="306" t="s">
        <v>3071</v>
      </c>
      <c r="O807" s="323" t="s">
        <v>3072</v>
      </c>
      <c r="P807" s="308"/>
      <c r="Q807" s="309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306" t="s">
        <v>3071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306" t="s">
        <v>3071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306" t="s">
        <v>3071</v>
      </c>
      <c r="Z807" t="str">
        <f>IFERROR(VLOOKUP(ROWS($Z$3:Z807),$X$3:$Y$992,2,0),"")</f>
        <v>Všeobecná ambulantní zdravotní péče</v>
      </c>
    </row>
    <row r="808" spans="13:26">
      <c r="M808" s="305">
        <f>IF(ISNUMBER(SEARCH(ZAKL_DATA!$B$29,N808)),MAX($M$2:M807)+1,0)</f>
        <v>806</v>
      </c>
      <c r="N808" s="306" t="s">
        <v>3073</v>
      </c>
      <c r="O808" s="323" t="s">
        <v>3074</v>
      </c>
      <c r="P808" s="308"/>
      <c r="Q808" s="309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306" t="s">
        <v>3073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306" t="s">
        <v>3073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306" t="s">
        <v>3073</v>
      </c>
      <c r="Z808" t="str">
        <f>IFERROR(VLOOKUP(ROWS($Z$3:Z808),$X$3:$Y$992,2,0),"")</f>
        <v>Specializovaná ambulantní zdravotní péče</v>
      </c>
    </row>
    <row r="809" spans="13:26">
      <c r="M809" s="305">
        <f>IF(ISNUMBER(SEARCH(ZAKL_DATA!$B$29,N809)),MAX($M$2:M808)+1,0)</f>
        <v>807</v>
      </c>
      <c r="N809" s="306" t="s">
        <v>3075</v>
      </c>
      <c r="O809" s="323" t="s">
        <v>3076</v>
      </c>
      <c r="P809" s="308"/>
      <c r="Q809" s="309" t="str">
        <f>IFERROR(VLOOKUP(ROWS($Q$3:Q809),$M$3:$N$992,2,0),"")</f>
        <v>Zubní péče</v>
      </c>
      <c r="R809">
        <f>IF(ISNUMBER(SEARCH('1Př1'!$A$32,N809)),MAX($M$2:M808)+1,0)</f>
        <v>807</v>
      </c>
      <c r="S809" s="306" t="s">
        <v>3075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306" t="s">
        <v>3075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306" t="s">
        <v>3075</v>
      </c>
      <c r="Z809" t="str">
        <f>IFERROR(VLOOKUP(ROWS($Z$3:Z809),$X$3:$Y$992,2,0),"")</f>
        <v>Zubní péče</v>
      </c>
    </row>
    <row r="810" spans="13:26">
      <c r="M810" s="305">
        <f>IF(ISNUMBER(SEARCH(ZAKL_DATA!$B$29,N810)),MAX($M$2:M809)+1,0)</f>
        <v>808</v>
      </c>
      <c r="N810" s="306" t="s">
        <v>3077</v>
      </c>
      <c r="O810" s="323" t="s">
        <v>3078</v>
      </c>
      <c r="P810" s="308"/>
      <c r="Q810" s="309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306" t="s">
        <v>3077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306" t="s">
        <v>3077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306" t="s">
        <v>3077</v>
      </c>
      <c r="Z810" t="str">
        <f>IFERROR(VLOOKUP(ROWS($Z$3:Z810),$X$3:$Y$992,2,0),"")</f>
        <v>Sociální služby poskytované dětem</v>
      </c>
    </row>
    <row r="811" spans="13:26">
      <c r="M811" s="305">
        <f>IF(ISNUMBER(SEARCH(ZAKL_DATA!$B$29,N811)),MAX($M$2:M810)+1,0)</f>
        <v>809</v>
      </c>
      <c r="N811" s="306" t="s">
        <v>3079</v>
      </c>
      <c r="O811" s="323" t="s">
        <v>3080</v>
      </c>
      <c r="P811" s="308"/>
      <c r="Q811" s="309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306" t="s">
        <v>3079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306" t="s">
        <v>3079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306" t="s">
        <v>3079</v>
      </c>
      <c r="Z811" t="str">
        <f>IFERROR(VLOOKUP(ROWS($Z$3:Z811),$X$3:$Y$992,2,0),"")</f>
        <v>Ostatní ambulantní nebo terénní sociální služby j. n.</v>
      </c>
    </row>
    <row r="812" spans="13:26">
      <c r="M812" s="305">
        <f>IF(ISNUMBER(SEARCH(ZAKL_DATA!$B$29,N812)),MAX($M$2:M811)+1,0)</f>
        <v>810</v>
      </c>
      <c r="N812" s="306" t="s">
        <v>3081</v>
      </c>
      <c r="O812" s="323" t="s">
        <v>3082</v>
      </c>
      <c r="P812" s="308"/>
      <c r="Q812" s="309" t="str">
        <f>IFERROR(VLOOKUP(ROWS($Q$3:Q812),$M$3:$N$992,2,0),"")</f>
        <v>Scénická umění</v>
      </c>
      <c r="R812">
        <f>IF(ISNUMBER(SEARCH('1Př1'!$A$32,N812)),MAX($M$2:M811)+1,0)</f>
        <v>810</v>
      </c>
      <c r="S812" s="306" t="s">
        <v>3081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306" t="s">
        <v>3081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306" t="s">
        <v>3081</v>
      </c>
      <c r="Z812" t="str">
        <f>IFERROR(VLOOKUP(ROWS($Z$3:Z812),$X$3:$Y$992,2,0),"")</f>
        <v>Scénická umění</v>
      </c>
    </row>
    <row r="813" spans="13:26">
      <c r="M813" s="305">
        <f>IF(ISNUMBER(SEARCH(ZAKL_DATA!$B$29,N813)),MAX($M$2:M812)+1,0)</f>
        <v>811</v>
      </c>
      <c r="N813" s="306" t="s">
        <v>3083</v>
      </c>
      <c r="O813" s="323" t="s">
        <v>3084</v>
      </c>
      <c r="P813" s="308"/>
      <c r="Q813" s="309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306" t="s">
        <v>3083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306" t="s">
        <v>3083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306" t="s">
        <v>3083</v>
      </c>
      <c r="Z813" t="str">
        <f>IFERROR(VLOOKUP(ROWS($Z$3:Z813),$X$3:$Y$992,2,0),"")</f>
        <v>Podpůrné činnosti pro scénická umění</v>
      </c>
    </row>
    <row r="814" spans="13:26">
      <c r="M814" s="305">
        <f>IF(ISNUMBER(SEARCH(ZAKL_DATA!$B$29,N814)),MAX($M$2:M813)+1,0)</f>
        <v>812</v>
      </c>
      <c r="N814" s="306" t="s">
        <v>3085</v>
      </c>
      <c r="O814" s="323" t="s">
        <v>3086</v>
      </c>
      <c r="P814" s="308"/>
      <c r="Q814" s="309" t="str">
        <f>IFERROR(VLOOKUP(ROWS($Q$3:Q814),$M$3:$N$992,2,0),"")</f>
        <v>Umělecká tvorba</v>
      </c>
      <c r="R814">
        <f>IF(ISNUMBER(SEARCH('1Př1'!$A$32,N814)),MAX($M$2:M813)+1,0)</f>
        <v>812</v>
      </c>
      <c r="S814" s="306" t="s">
        <v>3085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306" t="s">
        <v>3085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306" t="s">
        <v>3085</v>
      </c>
      <c r="Z814" t="str">
        <f>IFERROR(VLOOKUP(ROWS($Z$3:Z814),$X$3:$Y$992,2,0),"")</f>
        <v>Umělecká tvorba</v>
      </c>
    </row>
    <row r="815" spans="13:26">
      <c r="M815" s="305">
        <f>IF(ISNUMBER(SEARCH(ZAKL_DATA!$B$29,N815)),MAX($M$2:M814)+1,0)</f>
        <v>813</v>
      </c>
      <c r="N815" s="306" t="s">
        <v>3087</v>
      </c>
      <c r="O815" s="323" t="s">
        <v>3088</v>
      </c>
      <c r="P815" s="308"/>
      <c r="Q815" s="309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306" t="s">
        <v>3087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306" t="s">
        <v>3087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306" t="s">
        <v>3087</v>
      </c>
      <c r="Z815" t="str">
        <f>IFERROR(VLOOKUP(ROWS($Z$3:Z815),$X$3:$Y$992,2,0),"")</f>
        <v>Provozování kulturních zařízení</v>
      </c>
    </row>
    <row r="816" spans="13:26">
      <c r="M816" s="305">
        <f>IF(ISNUMBER(SEARCH(ZAKL_DATA!$B$29,N816)),MAX($M$2:M815)+1,0)</f>
        <v>814</v>
      </c>
      <c r="N816" s="306" t="s">
        <v>3089</v>
      </c>
      <c r="O816" s="323" t="s">
        <v>3090</v>
      </c>
      <c r="P816" s="308"/>
      <c r="Q816" s="309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306" t="s">
        <v>3089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306" t="s">
        <v>3089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306" t="s">
        <v>3089</v>
      </c>
      <c r="Z816" t="str">
        <f>IFERROR(VLOOKUP(ROWS($Z$3:Z816),$X$3:$Y$992,2,0),"")</f>
        <v>Činnosti knihoven a archivů</v>
      </c>
    </row>
    <row r="817" spans="13:26">
      <c r="M817" s="305">
        <f>IF(ISNUMBER(SEARCH(ZAKL_DATA!$B$29,N817)),MAX($M$2:M816)+1,0)</f>
        <v>815</v>
      </c>
      <c r="N817" s="306" t="s">
        <v>3091</v>
      </c>
      <c r="O817" s="323" t="s">
        <v>3092</v>
      </c>
      <c r="P817" s="308"/>
      <c r="Q817" s="309" t="str">
        <f>IFERROR(VLOOKUP(ROWS($Q$3:Q817),$M$3:$N$992,2,0),"")</f>
        <v>Činnosti muzeí</v>
      </c>
      <c r="R817">
        <f>IF(ISNUMBER(SEARCH('1Př1'!$A$32,N817)),MAX($M$2:M816)+1,0)</f>
        <v>815</v>
      </c>
      <c r="S817" s="306" t="s">
        <v>3091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306" t="s">
        <v>3091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306" t="s">
        <v>3091</v>
      </c>
      <c r="Z817" t="str">
        <f>IFERROR(VLOOKUP(ROWS($Z$3:Z817),$X$3:$Y$992,2,0),"")</f>
        <v>Činnosti muzeí</v>
      </c>
    </row>
    <row r="818" spans="13:26">
      <c r="M818" s="305">
        <f>IF(ISNUMBER(SEARCH(ZAKL_DATA!$B$29,N818)),MAX($M$2:M817)+1,0)</f>
        <v>816</v>
      </c>
      <c r="N818" s="306" t="s">
        <v>3093</v>
      </c>
      <c r="O818" s="323" t="s">
        <v>3094</v>
      </c>
      <c r="P818" s="308"/>
      <c r="Q818" s="309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306" t="s">
        <v>3093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306" t="s">
        <v>3093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306" t="s">
        <v>3093</v>
      </c>
      <c r="Z818" t="str">
        <f>IFERROR(VLOOKUP(ROWS($Z$3:Z818),$X$3:$Y$992,2,0),"")</f>
        <v>Provozování kultur.památek,histor.staveb a obdobných turist.zajímavostí</v>
      </c>
    </row>
    <row r="819" spans="13:26">
      <c r="M819" s="305">
        <f>IF(ISNUMBER(SEARCH(ZAKL_DATA!$B$29,N819)),MAX($M$2:M818)+1,0)</f>
        <v>817</v>
      </c>
      <c r="N819" s="306" t="s">
        <v>3095</v>
      </c>
      <c r="O819" s="323" t="s">
        <v>3096</v>
      </c>
      <c r="P819" s="308"/>
      <c r="Q819" s="309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306" t="s">
        <v>3095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306" t="s">
        <v>3095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306" t="s">
        <v>3095</v>
      </c>
      <c r="Z819" t="str">
        <f>IFERROR(VLOOKUP(ROWS($Z$3:Z819),$X$3:$Y$992,2,0),"")</f>
        <v>Činnosti botanických a zoologických zahrad,přír.rezervací a národ.parků</v>
      </c>
    </row>
    <row r="820" spans="13:26">
      <c r="M820" s="305">
        <f>IF(ISNUMBER(SEARCH(ZAKL_DATA!$B$29,N820)),MAX($M$2:M819)+1,0)</f>
        <v>818</v>
      </c>
      <c r="N820" s="306" t="s">
        <v>3097</v>
      </c>
      <c r="O820" s="323" t="s">
        <v>3098</v>
      </c>
      <c r="P820" s="308"/>
      <c r="Q820" s="309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306" t="s">
        <v>3097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306" t="s">
        <v>3097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306" t="s">
        <v>3097</v>
      </c>
      <c r="Z820" t="str">
        <f>IFERROR(VLOOKUP(ROWS($Z$3:Z820),$X$3:$Y$992,2,0),"")</f>
        <v>Provozování sportovních zařízení</v>
      </c>
    </row>
    <row r="821" spans="13:26">
      <c r="M821" s="305">
        <f>IF(ISNUMBER(SEARCH(ZAKL_DATA!$B$29,N821)),MAX($M$2:M820)+1,0)</f>
        <v>819</v>
      </c>
      <c r="N821" s="306" t="s">
        <v>3099</v>
      </c>
      <c r="O821" s="323" t="s">
        <v>3100</v>
      </c>
      <c r="P821" s="308"/>
      <c r="Q821" s="309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306" t="s">
        <v>3099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306" t="s">
        <v>3099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306" t="s">
        <v>3099</v>
      </c>
      <c r="Z821" t="str">
        <f>IFERROR(VLOOKUP(ROWS($Z$3:Z821),$X$3:$Y$992,2,0),"")</f>
        <v>Činnosti sportovních klubů</v>
      </c>
    </row>
    <row r="822" spans="13:26">
      <c r="M822" s="305">
        <f>IF(ISNUMBER(SEARCH(ZAKL_DATA!$B$29,N822)),MAX($M$2:M821)+1,0)</f>
        <v>820</v>
      </c>
      <c r="N822" s="306" t="s">
        <v>3101</v>
      </c>
      <c r="O822" s="323" t="s">
        <v>3102</v>
      </c>
      <c r="P822" s="308"/>
      <c r="Q822" s="309" t="str">
        <f>IFERROR(VLOOKUP(ROWS($Q$3:Q822),$M$3:$N$992,2,0),"")</f>
        <v>Činnosti fitcenter</v>
      </c>
      <c r="R822">
        <f>IF(ISNUMBER(SEARCH('1Př1'!$A$32,N822)),MAX($M$2:M821)+1,0)</f>
        <v>820</v>
      </c>
      <c r="S822" s="306" t="s">
        <v>3101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306" t="s">
        <v>3101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306" t="s">
        <v>3101</v>
      </c>
      <c r="Z822" t="str">
        <f>IFERROR(VLOOKUP(ROWS($Z$3:Z822),$X$3:$Y$992,2,0),"")</f>
        <v>Činnosti fitcenter</v>
      </c>
    </row>
    <row r="823" spans="13:26">
      <c r="M823" s="305">
        <f>IF(ISNUMBER(SEARCH(ZAKL_DATA!$B$29,N823)),MAX($M$2:M822)+1,0)</f>
        <v>821</v>
      </c>
      <c r="N823" s="306" t="s">
        <v>3103</v>
      </c>
      <c r="O823" s="323" t="s">
        <v>3104</v>
      </c>
      <c r="P823" s="308"/>
      <c r="Q823" s="309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306" t="s">
        <v>3103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306" t="s">
        <v>3103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306" t="s">
        <v>3103</v>
      </c>
      <c r="Z823" t="str">
        <f>IFERROR(VLOOKUP(ROWS($Z$3:Z823),$X$3:$Y$992,2,0),"")</f>
        <v>Ostatní sportovní činnosti</v>
      </c>
    </row>
    <row r="824" spans="13:26">
      <c r="M824" s="305">
        <f>IF(ISNUMBER(SEARCH(ZAKL_DATA!$B$29,N824)),MAX($M$2:M823)+1,0)</f>
        <v>822</v>
      </c>
      <c r="N824" s="306" t="s">
        <v>3105</v>
      </c>
      <c r="O824" s="323" t="s">
        <v>3106</v>
      </c>
      <c r="P824" s="308"/>
      <c r="Q824" s="309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306" t="s">
        <v>3105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306" t="s">
        <v>3105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306" t="s">
        <v>3105</v>
      </c>
      <c r="Z824" t="str">
        <f>IFERROR(VLOOKUP(ROWS($Z$3:Z824),$X$3:$Y$992,2,0),"")</f>
        <v>Činnosti lunaparků a zábavních parků</v>
      </c>
    </row>
    <row r="825" spans="13:26">
      <c r="M825" s="305">
        <f>IF(ISNUMBER(SEARCH(ZAKL_DATA!$B$29,N825)),MAX($M$2:M824)+1,0)</f>
        <v>823</v>
      </c>
      <c r="N825" s="306" t="s">
        <v>3107</v>
      </c>
      <c r="O825" s="323" t="s">
        <v>3108</v>
      </c>
      <c r="P825" s="308"/>
      <c r="Q825" s="309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306" t="s">
        <v>3107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306" t="s">
        <v>3107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306" t="s">
        <v>3107</v>
      </c>
      <c r="Z825" t="str">
        <f>IFERROR(VLOOKUP(ROWS($Z$3:Z825),$X$3:$Y$992,2,0),"")</f>
        <v>Ostatní zábavní a rekreační činnosti j. n.</v>
      </c>
    </row>
    <row r="826" spans="13:26">
      <c r="M826" s="305">
        <f>IF(ISNUMBER(SEARCH(ZAKL_DATA!$B$29,N826)),MAX($M$2:M825)+1,0)</f>
        <v>824</v>
      </c>
      <c r="N826" s="306" t="s">
        <v>3109</v>
      </c>
      <c r="O826" s="323" t="s">
        <v>3110</v>
      </c>
      <c r="P826" s="308"/>
      <c r="Q826" s="309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306" t="s">
        <v>3109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306" t="s">
        <v>3109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306" t="s">
        <v>3109</v>
      </c>
      <c r="Z826" t="str">
        <f>IFERROR(VLOOKUP(ROWS($Z$3:Z826),$X$3:$Y$992,2,0),"")</f>
        <v>Činnosti podnikatelských a zaměstnavatelských organizací</v>
      </c>
    </row>
    <row r="827" spans="13:26">
      <c r="M827" s="305">
        <f>IF(ISNUMBER(SEARCH(ZAKL_DATA!$B$29,N827)),MAX($M$2:M826)+1,0)</f>
        <v>825</v>
      </c>
      <c r="N827" s="306" t="s">
        <v>3111</v>
      </c>
      <c r="O827" s="323" t="s">
        <v>3112</v>
      </c>
      <c r="P827" s="308"/>
      <c r="Q827" s="309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306" t="s">
        <v>3111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306" t="s">
        <v>3111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306" t="s">
        <v>3111</v>
      </c>
      <c r="Z827" t="str">
        <f>IFERROR(VLOOKUP(ROWS($Z$3:Z827),$X$3:$Y$992,2,0),"")</f>
        <v>Činnosti profesních organizací</v>
      </c>
    </row>
    <row r="828" spans="13:26">
      <c r="M828" s="305">
        <f>IF(ISNUMBER(SEARCH(ZAKL_DATA!$B$29,N828)),MAX($M$2:M827)+1,0)</f>
        <v>826</v>
      </c>
      <c r="N828" s="306" t="s">
        <v>3113</v>
      </c>
      <c r="O828" s="323" t="s">
        <v>3114</v>
      </c>
      <c r="P828" s="308"/>
      <c r="Q828" s="309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306" t="s">
        <v>3113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306" t="s">
        <v>3113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306" t="s">
        <v>3113</v>
      </c>
      <c r="Z828" t="str">
        <f>IFERROR(VLOOKUP(ROWS($Z$3:Z828),$X$3:$Y$992,2,0),"")</f>
        <v>Činnosti náboženských organizací</v>
      </c>
    </row>
    <row r="829" spans="13:26">
      <c r="M829" s="305">
        <f>IF(ISNUMBER(SEARCH(ZAKL_DATA!$B$29,N829)),MAX($M$2:M828)+1,0)</f>
        <v>827</v>
      </c>
      <c r="N829" s="306" t="s">
        <v>3115</v>
      </c>
      <c r="O829" s="323" t="s">
        <v>3116</v>
      </c>
      <c r="P829" s="308"/>
      <c r="Q829" s="309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306" t="s">
        <v>3115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306" t="s">
        <v>3115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306" t="s">
        <v>3115</v>
      </c>
      <c r="Z829" t="str">
        <f>IFERROR(VLOOKUP(ROWS($Z$3:Z829),$X$3:$Y$992,2,0),"")</f>
        <v>Činnosti politických stran a organizací</v>
      </c>
    </row>
    <row r="830" spans="13:26">
      <c r="M830" s="305">
        <f>IF(ISNUMBER(SEARCH(ZAKL_DATA!$B$29,N830)),MAX($M$2:M829)+1,0)</f>
        <v>828</v>
      </c>
      <c r="N830" s="306" t="s">
        <v>3117</v>
      </c>
      <c r="O830" s="323" t="s">
        <v>3118</v>
      </c>
      <c r="P830" s="308"/>
      <c r="Q830" s="309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306" t="s">
        <v>3117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306" t="s">
        <v>3117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306" t="s">
        <v>3117</v>
      </c>
      <c r="Z830" t="str">
        <f>IFERROR(VLOOKUP(ROWS($Z$3:Z830),$X$3:$Y$992,2,0),"")</f>
        <v>Činnosti ost.org.sdružujících osoby za účelem prosazování spol.zájmů j.n.</v>
      </c>
    </row>
    <row r="831" spans="13:26">
      <c r="M831" s="305">
        <f>IF(ISNUMBER(SEARCH(ZAKL_DATA!$B$29,N831)),MAX($M$2:M830)+1,0)</f>
        <v>829</v>
      </c>
      <c r="N831" s="306" t="s">
        <v>3119</v>
      </c>
      <c r="O831" s="323" t="s">
        <v>3120</v>
      </c>
      <c r="P831" s="308"/>
      <c r="Q831" s="309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306" t="s">
        <v>3119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306" t="s">
        <v>3119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306" t="s">
        <v>3119</v>
      </c>
      <c r="Z831" t="str">
        <f>IFERROR(VLOOKUP(ROWS($Z$3:Z831),$X$3:$Y$992,2,0),"")</f>
        <v>Opravy počítačů a periferních zařízení</v>
      </c>
    </row>
    <row r="832" spans="13:26">
      <c r="M832" s="305">
        <f>IF(ISNUMBER(SEARCH(ZAKL_DATA!$B$29,N832)),MAX($M$2:M831)+1,0)</f>
        <v>830</v>
      </c>
      <c r="N832" s="306" t="s">
        <v>3121</v>
      </c>
      <c r="O832" s="323" t="s">
        <v>3122</v>
      </c>
      <c r="P832" s="308"/>
      <c r="Q832" s="309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306" t="s">
        <v>3121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306" t="s">
        <v>3121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306" t="s">
        <v>3121</v>
      </c>
      <c r="Z832" t="str">
        <f>IFERROR(VLOOKUP(ROWS($Z$3:Z832),$X$3:$Y$992,2,0),"")</f>
        <v>Opravy komunikačních zařízení</v>
      </c>
    </row>
    <row r="833" spans="13:26">
      <c r="M833" s="305">
        <f>IF(ISNUMBER(SEARCH(ZAKL_DATA!$B$29,N833)),MAX($M$2:M832)+1,0)</f>
        <v>831</v>
      </c>
      <c r="N833" s="306" t="s">
        <v>3123</v>
      </c>
      <c r="O833" s="323" t="s">
        <v>3124</v>
      </c>
      <c r="P833" s="308"/>
      <c r="Q833" s="309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306" t="s">
        <v>3123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306" t="s">
        <v>3123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306" t="s">
        <v>3123</v>
      </c>
      <c r="Z833" t="str">
        <f>IFERROR(VLOOKUP(ROWS($Z$3:Z833),$X$3:$Y$992,2,0),"")</f>
        <v>Opravy spotřební elektroniky</v>
      </c>
    </row>
    <row r="834" spans="13:26">
      <c r="M834" s="305">
        <f>IF(ISNUMBER(SEARCH(ZAKL_DATA!$B$29,N834)),MAX($M$2:M833)+1,0)</f>
        <v>832</v>
      </c>
      <c r="N834" s="306" t="s">
        <v>3125</v>
      </c>
      <c r="O834" s="323" t="s">
        <v>3126</v>
      </c>
      <c r="P834" s="308"/>
      <c r="Q834" s="309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306" t="s">
        <v>3125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306" t="s">
        <v>3125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306" t="s">
        <v>3125</v>
      </c>
      <c r="Z834" t="str">
        <f>IFERROR(VLOOKUP(ROWS($Z$3:Z834),$X$3:$Y$992,2,0),"")</f>
        <v>Opravy přístrojů a zařízení převážně pro domácnost, dům a zahradu</v>
      </c>
    </row>
    <row r="835" spans="13:26">
      <c r="M835" s="305">
        <f>IF(ISNUMBER(SEARCH(ZAKL_DATA!$B$29,N835)),MAX($M$2:M834)+1,0)</f>
        <v>833</v>
      </c>
      <c r="N835" s="306" t="s">
        <v>3127</v>
      </c>
      <c r="O835" s="323" t="s">
        <v>3128</v>
      </c>
      <c r="P835" s="308"/>
      <c r="Q835" s="309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306" t="s">
        <v>3127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306" t="s">
        <v>3127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306" t="s">
        <v>3127</v>
      </c>
      <c r="Z835" t="str">
        <f>IFERROR(VLOOKUP(ROWS($Z$3:Z835),$X$3:$Y$992,2,0),"")</f>
        <v>Opravy obuvi a kožených výrobků</v>
      </c>
    </row>
    <row r="836" spans="13:26">
      <c r="M836" s="305">
        <f>IF(ISNUMBER(SEARCH(ZAKL_DATA!$B$29,N836)),MAX($M$2:M835)+1,0)</f>
        <v>834</v>
      </c>
      <c r="N836" s="306" t="s">
        <v>3129</v>
      </c>
      <c r="O836" s="323" t="s">
        <v>3130</v>
      </c>
      <c r="P836" s="308"/>
      <c r="Q836" s="309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306" t="s">
        <v>3129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306" t="s">
        <v>3129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306" t="s">
        <v>3129</v>
      </c>
      <c r="Z836" t="str">
        <f>IFERROR(VLOOKUP(ROWS($Z$3:Z836),$X$3:$Y$992,2,0),"")</f>
        <v>Opravy nábytku a bytového zařízení</v>
      </c>
    </row>
    <row r="837" spans="13:26">
      <c r="M837" s="305">
        <f>IF(ISNUMBER(SEARCH(ZAKL_DATA!$B$29,N837)),MAX($M$2:M836)+1,0)</f>
        <v>835</v>
      </c>
      <c r="N837" s="306" t="s">
        <v>3131</v>
      </c>
      <c r="O837" s="323" t="s">
        <v>3132</v>
      </c>
      <c r="P837" s="308"/>
      <c r="Q837" s="309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306" t="s">
        <v>3131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306" t="s">
        <v>3131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306" t="s">
        <v>3131</v>
      </c>
      <c r="Z837" t="str">
        <f>IFERROR(VLOOKUP(ROWS($Z$3:Z837),$X$3:$Y$992,2,0),"")</f>
        <v>Opravy hodin, hodinek a klenotnických výrobků</v>
      </c>
    </row>
    <row r="838" spans="13:26">
      <c r="M838" s="305">
        <f>IF(ISNUMBER(SEARCH(ZAKL_DATA!$B$29,N838)),MAX($M$2:M837)+1,0)</f>
        <v>836</v>
      </c>
      <c r="N838" s="306" t="s">
        <v>3133</v>
      </c>
      <c r="O838" s="323" t="s">
        <v>3134</v>
      </c>
      <c r="P838" s="308"/>
      <c r="Q838" s="309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306" t="s">
        <v>3133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306" t="s">
        <v>3133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306" t="s">
        <v>3133</v>
      </c>
      <c r="Z838" t="str">
        <f>IFERROR(VLOOKUP(ROWS($Z$3:Z838),$X$3:$Y$992,2,0),"")</f>
        <v>Opravy ostatních výrobků pro osobní potřebu a převážně pro domácnost</v>
      </c>
    </row>
    <row r="839" spans="13:26">
      <c r="M839" s="305">
        <f>IF(ISNUMBER(SEARCH(ZAKL_DATA!$B$29,N839)),MAX($M$2:M838)+1,0)</f>
        <v>837</v>
      </c>
      <c r="N839" s="306" t="s">
        <v>3135</v>
      </c>
      <c r="O839" s="323" t="s">
        <v>3136</v>
      </c>
      <c r="P839" s="308"/>
      <c r="Q839" s="309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306" t="s">
        <v>3135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306" t="s">
        <v>3135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306" t="s">
        <v>3135</v>
      </c>
      <c r="Z839" t="str">
        <f>IFERROR(VLOOKUP(ROWS($Z$3:Z839),$X$3:$Y$992,2,0),"")</f>
        <v>Praní a chemické čištění textilních a kožešinových výrobků</v>
      </c>
    </row>
    <row r="840" spans="13:26">
      <c r="M840" s="305">
        <f>IF(ISNUMBER(SEARCH(ZAKL_DATA!$B$29,N840)),MAX($M$2:M839)+1,0)</f>
        <v>838</v>
      </c>
      <c r="N840" s="306" t="s">
        <v>3137</v>
      </c>
      <c r="O840" s="323" t="s">
        <v>3138</v>
      </c>
      <c r="P840" s="308"/>
      <c r="Q840" s="309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306" t="s">
        <v>3137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306" t="s">
        <v>3137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306" t="s">
        <v>3137</v>
      </c>
      <c r="Z840" t="str">
        <f>IFERROR(VLOOKUP(ROWS($Z$3:Z840),$X$3:$Y$992,2,0),"")</f>
        <v>Kadeřnické, kosmetické a podobné činnosti</v>
      </c>
    </row>
    <row r="841" spans="13:26">
      <c r="M841" s="305">
        <f>IF(ISNUMBER(SEARCH(ZAKL_DATA!$B$29,N841)),MAX($M$2:M840)+1,0)</f>
        <v>839</v>
      </c>
      <c r="N841" s="306" t="s">
        <v>3139</v>
      </c>
      <c r="O841" s="323" t="s">
        <v>3140</v>
      </c>
      <c r="P841" s="308"/>
      <c r="Q841" s="309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306" t="s">
        <v>3139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306" t="s">
        <v>3139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306" t="s">
        <v>3139</v>
      </c>
      <c r="Z841" t="str">
        <f>IFERROR(VLOOKUP(ROWS($Z$3:Z841),$X$3:$Y$992,2,0),"")</f>
        <v>Pohřební a související činnosti</v>
      </c>
    </row>
    <row r="842" spans="13:26">
      <c r="M842" s="305">
        <f>IF(ISNUMBER(SEARCH(ZAKL_DATA!$B$29,N842)),MAX($M$2:M841)+1,0)</f>
        <v>840</v>
      </c>
      <c r="N842" s="306" t="s">
        <v>3141</v>
      </c>
      <c r="O842" s="323" t="s">
        <v>3142</v>
      </c>
      <c r="P842" s="308"/>
      <c r="Q842" s="309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306" t="s">
        <v>3141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306" t="s">
        <v>3141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306" t="s">
        <v>3141</v>
      </c>
      <c r="Z842" t="str">
        <f>IFERROR(VLOOKUP(ROWS($Z$3:Z842),$X$3:$Y$992,2,0),"")</f>
        <v>Činnosti pro osobní a fyzickou pohodu</v>
      </c>
    </row>
    <row r="843" spans="13:26">
      <c r="M843" s="305">
        <f>IF(ISNUMBER(SEARCH(ZAKL_DATA!$B$29,N843)),MAX($M$2:M842)+1,0)</f>
        <v>841</v>
      </c>
      <c r="N843" s="306" t="s">
        <v>3143</v>
      </c>
      <c r="O843" s="323" t="s">
        <v>3144</v>
      </c>
      <c r="P843" s="308"/>
      <c r="Q843" s="309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306" t="s">
        <v>3143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306" t="s">
        <v>3143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306" t="s">
        <v>3143</v>
      </c>
      <c r="Z843" t="str">
        <f>IFERROR(VLOOKUP(ROWS($Z$3:Z843),$X$3:$Y$992,2,0),"")</f>
        <v>Poskytování ostatních osobních služeb j. n.</v>
      </c>
    </row>
    <row r="844" spans="13:26">
      <c r="M844" s="305">
        <f>IF(ISNUMBER(SEARCH(ZAKL_DATA!$B$29,N844)),MAX($M$2:M843)+1,0)</f>
        <v>842</v>
      </c>
      <c r="N844" s="306" t="s">
        <v>3145</v>
      </c>
      <c r="O844" s="323" t="s">
        <v>2235</v>
      </c>
      <c r="P844" s="308"/>
      <c r="Q844" s="309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306" t="s">
        <v>3145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306" t="s">
        <v>3145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306" t="s">
        <v>3145</v>
      </c>
      <c r="Z844" t="str">
        <f>IFERROR(VLOOKUP(ROWS($Z$3:Z844),$X$3:$Y$992,2,0),"")</f>
        <v>Činnosti domácností produk.blíže neurčené výrobky pro vlastní potřebu</v>
      </c>
    </row>
    <row r="845" spans="13:26">
      <c r="M845" s="305">
        <f>IF(ISNUMBER(SEARCH(ZAKL_DATA!$B$29,N845)),MAX($M$2:M844)+1,0)</f>
        <v>843</v>
      </c>
      <c r="N845" s="306" t="s">
        <v>3146</v>
      </c>
      <c r="O845" s="323" t="s">
        <v>3147</v>
      </c>
      <c r="P845" s="308"/>
      <c r="Q845" s="309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306" t="s">
        <v>3146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306" t="s">
        <v>3146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306" t="s">
        <v>3146</v>
      </c>
      <c r="Z845" t="str">
        <f>IFERROR(VLOOKUP(ROWS($Z$3:Z845),$X$3:$Y$992,2,0),"")</f>
        <v>Výroba obuvi s usňovým svrškem</v>
      </c>
    </row>
    <row r="846" spans="13:26">
      <c r="M846" s="305">
        <f>IF(ISNUMBER(SEARCH(ZAKL_DATA!$B$29,N846)),MAX($M$2:M845)+1,0)</f>
        <v>844</v>
      </c>
      <c r="N846" s="306" t="s">
        <v>3148</v>
      </c>
      <c r="O846" s="323" t="s">
        <v>3149</v>
      </c>
      <c r="P846" s="308"/>
      <c r="Q846" s="309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306" t="s">
        <v>3148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306" t="s">
        <v>3148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306" t="s">
        <v>3148</v>
      </c>
      <c r="Z846" t="str">
        <f>IFERROR(VLOOKUP(ROWS($Z$3:Z846),$X$3:$Y$992,2,0),"")</f>
        <v>Výroba obuvi z ostatních materiálů</v>
      </c>
    </row>
    <row r="847" spans="13:26">
      <c r="M847" s="305">
        <f>IF(ISNUMBER(SEARCH(ZAKL_DATA!$B$29,N847)),MAX($M$2:M846)+1,0)</f>
        <v>845</v>
      </c>
      <c r="N847" s="306" t="s">
        <v>3150</v>
      </c>
      <c r="O847" s="323" t="s">
        <v>3151</v>
      </c>
      <c r="P847" s="308"/>
      <c r="Q847" s="309" t="str">
        <f>IFERROR(VLOOKUP(ROWS($Q$3:Q847),$M$3:$N$992,2,0),"")</f>
        <v>Výroba chemických buničin</v>
      </c>
      <c r="R847">
        <f>IF(ISNUMBER(SEARCH('1Př1'!$A$32,N847)),MAX($M$2:M846)+1,0)</f>
        <v>845</v>
      </c>
      <c r="S847" s="306" t="s">
        <v>3150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306" t="s">
        <v>3150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306" t="s">
        <v>3150</v>
      </c>
      <c r="Z847" t="str">
        <f>IFERROR(VLOOKUP(ROWS($Z$3:Z847),$X$3:$Y$992,2,0),"")</f>
        <v>Výroba chemických buničin</v>
      </c>
    </row>
    <row r="848" spans="13:26">
      <c r="M848" s="305">
        <f>IF(ISNUMBER(SEARCH(ZAKL_DATA!$B$29,N848)),MAX($M$2:M847)+1,0)</f>
        <v>846</v>
      </c>
      <c r="N848" s="306" t="s">
        <v>3152</v>
      </c>
      <c r="O848" s="323" t="s">
        <v>3153</v>
      </c>
      <c r="P848" s="308"/>
      <c r="Q848" s="309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306" t="s">
        <v>3152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306" t="s">
        <v>3152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306" t="s">
        <v>3152</v>
      </c>
      <c r="Z848" t="str">
        <f>IFERROR(VLOOKUP(ROWS($Z$3:Z848),$X$3:$Y$992,2,0),"")</f>
        <v>Výroba mechanických vláknin</v>
      </c>
    </row>
    <row r="849" spans="13:26">
      <c r="M849" s="305">
        <f>IF(ISNUMBER(SEARCH(ZAKL_DATA!$B$29,N849)),MAX($M$2:M848)+1,0)</f>
        <v>847</v>
      </c>
      <c r="N849" s="306" t="s">
        <v>3154</v>
      </c>
      <c r="O849" s="323" t="s">
        <v>3155</v>
      </c>
      <c r="P849" s="308"/>
      <c r="Q849" s="309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306" t="s">
        <v>3154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306" t="s">
        <v>3154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306" t="s">
        <v>3154</v>
      </c>
      <c r="Z849" t="str">
        <f>IFERROR(VLOOKUP(ROWS($Z$3:Z849),$X$3:$Y$992,2,0),"")</f>
        <v>Výroba ostatních papírenských vláknin</v>
      </c>
    </row>
    <row r="850" spans="13:26">
      <c r="M850" s="305">
        <f>IF(ISNUMBER(SEARCH(ZAKL_DATA!$B$29,N850)),MAX($M$2:M849)+1,0)</f>
        <v>848</v>
      </c>
      <c r="N850" s="306" t="s">
        <v>3156</v>
      </c>
      <c r="O850" s="323" t="s">
        <v>3157</v>
      </c>
      <c r="P850" s="308"/>
      <c r="Q850" s="309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306" t="s">
        <v>3156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306" t="s">
        <v>3156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306" t="s">
        <v>3156</v>
      </c>
      <c r="Z850" t="str">
        <f>IFERROR(VLOOKUP(ROWS($Z$3:Z850),$X$3:$Y$992,2,0),"")</f>
        <v>Výroba bioet.(biolihu)pro pohon motorů a pro výr.směsí a komp.paliv</v>
      </c>
    </row>
    <row r="851" spans="13:26">
      <c r="M851" s="305">
        <f>IF(ISNUMBER(SEARCH(ZAKL_DATA!$B$29,N851)),MAX($M$2:M850)+1,0)</f>
        <v>849</v>
      </c>
      <c r="N851" s="306" t="s">
        <v>3158</v>
      </c>
      <c r="O851" s="323" t="s">
        <v>3159</v>
      </c>
      <c r="P851" s="308"/>
      <c r="Q851" s="309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306" t="s">
        <v>3158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306" t="s">
        <v>3158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306" t="s">
        <v>3158</v>
      </c>
      <c r="Z851" t="str">
        <f>IFERROR(VLOOKUP(ROWS($Z$3:Z851),$X$3:$Y$992,2,0),"")</f>
        <v>Výroba ostatních základních organických chemických látek</v>
      </c>
    </row>
    <row r="852" spans="13:26">
      <c r="M852" s="305">
        <f>IF(ISNUMBER(SEARCH(ZAKL_DATA!$B$29,N852)),MAX($M$2:M851)+1,0)</f>
        <v>850</v>
      </c>
      <c r="N852" s="306" t="s">
        <v>3160</v>
      </c>
      <c r="O852" s="323" t="s">
        <v>3161</v>
      </c>
      <c r="P852" s="308"/>
      <c r="Q852" s="309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306" t="s">
        <v>3160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306" t="s">
        <v>3160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306" t="s">
        <v>3160</v>
      </c>
      <c r="Z852" t="str">
        <f>IFERROR(VLOOKUP(ROWS($Z$3:Z852),$X$3:$Y$992,2,0),"")</f>
        <v>Výr.metylesterů a etylesterů mast.kys.pro pohon motorů a pro výr.sm.p.</v>
      </c>
    </row>
    <row r="853" spans="13:26">
      <c r="M853" s="305">
        <f>IF(ISNUMBER(SEARCH(ZAKL_DATA!$B$29,N853)),MAX($M$2:M852)+1,0)</f>
        <v>851</v>
      </c>
      <c r="N853" s="306" t="s">
        <v>3162</v>
      </c>
      <c r="O853" s="323" t="s">
        <v>3163</v>
      </c>
      <c r="P853" s="308"/>
      <c r="Q853" s="309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306" t="s">
        <v>3162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306" t="s">
        <v>3162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306" t="s">
        <v>3162</v>
      </c>
      <c r="Z853" t="str">
        <f>IFERROR(VLOOKUP(ROWS($Z$3:Z853),$X$3:$Y$992,2,0),"")</f>
        <v>Výroba jiných chemických výrobků j. n.</v>
      </c>
    </row>
    <row r="854" spans="13:26">
      <c r="M854" s="305">
        <f>IF(ISNUMBER(SEARCH(ZAKL_DATA!$B$29,N854)),MAX($M$2:M853)+1,0)</f>
        <v>852</v>
      </c>
      <c r="N854" s="306" t="s">
        <v>3164</v>
      </c>
      <c r="O854" s="323" t="s">
        <v>3165</v>
      </c>
      <c r="P854" s="308"/>
      <c r="Q854" s="309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306" t="s">
        <v>3164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306" t="s">
        <v>3164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306" t="s">
        <v>3164</v>
      </c>
      <c r="Z854" t="str">
        <f>IFERROR(VLOOKUP(ROWS($Z$3:Z854),$X$3:$Y$992,2,0),"")</f>
        <v>Výroba surového železa, oceli a feroslitin</v>
      </c>
    </row>
    <row r="855" spans="13:26">
      <c r="M855" s="305">
        <f>IF(ISNUMBER(SEARCH(ZAKL_DATA!$B$29,N855)),MAX($M$2:M854)+1,0)</f>
        <v>853</v>
      </c>
      <c r="N855" s="306" t="s">
        <v>3166</v>
      </c>
      <c r="O855" s="323" t="s">
        <v>3167</v>
      </c>
      <c r="P855" s="308"/>
      <c r="Q855" s="309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306" t="s">
        <v>3166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306" t="s">
        <v>3166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306" t="s">
        <v>3166</v>
      </c>
      <c r="Z855" t="str">
        <f>IFERROR(VLOOKUP(ROWS($Z$3:Z855),$X$3:$Y$992,2,0),"")</f>
        <v>Výroba plochých výrobků (kromě pásky za studena)</v>
      </c>
    </row>
    <row r="856" spans="13:26">
      <c r="M856" s="305">
        <f>IF(ISNUMBER(SEARCH(ZAKL_DATA!$B$29,N856)),MAX($M$2:M855)+1,0)</f>
        <v>854</v>
      </c>
      <c r="N856" s="306" t="s">
        <v>3168</v>
      </c>
      <c r="O856" s="323" t="s">
        <v>3169</v>
      </c>
      <c r="P856" s="308"/>
      <c r="Q856" s="309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306" t="s">
        <v>3168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306" t="s">
        <v>3168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306" t="s">
        <v>3168</v>
      </c>
      <c r="Z856" t="str">
        <f>IFERROR(VLOOKUP(ROWS($Z$3:Z856),$X$3:$Y$992,2,0),"")</f>
        <v>Tváření výrobků za tepla</v>
      </c>
    </row>
    <row r="857" spans="13:26">
      <c r="M857" s="305">
        <f>IF(ISNUMBER(SEARCH(ZAKL_DATA!$B$29,N857)),MAX($M$2:M856)+1,0)</f>
        <v>855</v>
      </c>
      <c r="N857" s="306" t="s">
        <v>3170</v>
      </c>
      <c r="O857" s="323" t="s">
        <v>3171</v>
      </c>
      <c r="P857" s="308"/>
      <c r="Q857" s="309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306" t="s">
        <v>3170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306" t="s">
        <v>3170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306" t="s">
        <v>3170</v>
      </c>
      <c r="Z857" t="str">
        <f>IFERROR(VLOOKUP(ROWS($Z$3:Z857),$X$3:$Y$992,2,0),"")</f>
        <v>Výroba odlitků z litiny s lupínkovým grafitem</v>
      </c>
    </row>
    <row r="858" spans="13:26">
      <c r="M858" s="305">
        <f>IF(ISNUMBER(SEARCH(ZAKL_DATA!$B$29,N858)),MAX($M$2:M857)+1,0)</f>
        <v>856</v>
      </c>
      <c r="N858" s="306" t="s">
        <v>3172</v>
      </c>
      <c r="O858" s="323" t="s">
        <v>3173</v>
      </c>
      <c r="P858" s="308"/>
      <c r="Q858" s="309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306" t="s">
        <v>3172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306" t="s">
        <v>3172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306" t="s">
        <v>3172</v>
      </c>
      <c r="Z858" t="str">
        <f>IFERROR(VLOOKUP(ROWS($Z$3:Z858),$X$3:$Y$992,2,0),"")</f>
        <v>Výroba odlitků z litiny s kuličkovým grafitem</v>
      </c>
    </row>
    <row r="859" spans="13:26">
      <c r="M859" s="305">
        <f>IF(ISNUMBER(SEARCH(ZAKL_DATA!$B$29,N859)),MAX($M$2:M858)+1,0)</f>
        <v>857</v>
      </c>
      <c r="N859" s="306" t="s">
        <v>3174</v>
      </c>
      <c r="O859" s="323" t="s">
        <v>3175</v>
      </c>
      <c r="P859" s="308"/>
      <c r="Q859" s="309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306" t="s">
        <v>3174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306" t="s">
        <v>3174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306" t="s">
        <v>3174</v>
      </c>
      <c r="Z859" t="str">
        <f>IFERROR(VLOOKUP(ROWS($Z$3:Z859),$X$3:$Y$992,2,0),"")</f>
        <v>Výroba ostatních odlitků z litiny</v>
      </c>
    </row>
    <row r="860" spans="13:26">
      <c r="M860" s="305">
        <f>IF(ISNUMBER(SEARCH(ZAKL_DATA!$B$29,N860)),MAX($M$2:M859)+1,0)</f>
        <v>858</v>
      </c>
      <c r="N860" s="306" t="s">
        <v>3176</v>
      </c>
      <c r="O860" s="323" t="s">
        <v>3177</v>
      </c>
      <c r="P860" s="308"/>
      <c r="Q860" s="309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306" t="s">
        <v>3176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306" t="s">
        <v>3176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306" t="s">
        <v>3176</v>
      </c>
      <c r="Z860" t="str">
        <f>IFERROR(VLOOKUP(ROWS($Z$3:Z860),$X$3:$Y$992,2,0),"")</f>
        <v>Výroba odlitků z uhlíkatých ocelí</v>
      </c>
    </row>
    <row r="861" spans="13:26">
      <c r="M861" s="305">
        <f>IF(ISNUMBER(SEARCH(ZAKL_DATA!$B$29,N861)),MAX($M$2:M860)+1,0)</f>
        <v>859</v>
      </c>
      <c r="N861" s="306" t="s">
        <v>3178</v>
      </c>
      <c r="O861" s="323" t="s">
        <v>3179</v>
      </c>
      <c r="P861" s="308"/>
      <c r="Q861" s="309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306" t="s">
        <v>3178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306" t="s">
        <v>3178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306" t="s">
        <v>3178</v>
      </c>
      <c r="Z861" t="str">
        <f>IFERROR(VLOOKUP(ROWS($Z$3:Z861),$X$3:$Y$992,2,0),"")</f>
        <v>Výroba odlitků z legovaných ocelí</v>
      </c>
    </row>
    <row r="862" spans="13:26">
      <c r="M862" s="305">
        <f>IF(ISNUMBER(SEARCH(ZAKL_DATA!$B$29,N862)),MAX($M$2:M861)+1,0)</f>
        <v>860</v>
      </c>
      <c r="N862" s="306" t="s">
        <v>3180</v>
      </c>
      <c r="O862" s="323" t="s">
        <v>3181</v>
      </c>
      <c r="P862" s="308"/>
      <c r="Q862" s="309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306" t="s">
        <v>3180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306" t="s">
        <v>3180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306" t="s">
        <v>3180</v>
      </c>
      <c r="Z862" t="str">
        <f>IFERROR(VLOOKUP(ROWS($Z$3:Z862),$X$3:$Y$992,2,0),"")</f>
        <v>Opravy a údržba kolejových vozidel</v>
      </c>
    </row>
    <row r="863" spans="13:26">
      <c r="M863" s="305">
        <f>IF(ISNUMBER(SEARCH(ZAKL_DATA!$B$29,N863)),MAX($M$2:M862)+1,0)</f>
        <v>861</v>
      </c>
      <c r="N863" s="306" t="s">
        <v>3182</v>
      </c>
      <c r="O863" s="323" t="s">
        <v>3183</v>
      </c>
      <c r="P863" s="308"/>
      <c r="Q863" s="309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306" t="s">
        <v>3182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306" t="s">
        <v>3182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306" t="s">
        <v>3182</v>
      </c>
      <c r="Z863" t="str">
        <f>IFERROR(VLOOKUP(ROWS($Z$3:Z863),$X$3:$Y$992,2,0),"")</f>
        <v>Opravy a údržba ostat.dopr.prostředků a zařízení j.n.kromě kolej.vozidel</v>
      </c>
    </row>
    <row r="864" spans="13:26">
      <c r="M864" s="305">
        <f>IF(ISNUMBER(SEARCH(ZAKL_DATA!$B$29,N864)),MAX($M$2:M863)+1,0)</f>
        <v>862</v>
      </c>
      <c r="N864" s="306" t="s">
        <v>3184</v>
      </c>
      <c r="O864" s="323" t="s">
        <v>1915</v>
      </c>
      <c r="P864" s="308"/>
      <c r="Q864" s="309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306" t="s">
        <v>3184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306" t="s">
        <v>3184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306" t="s">
        <v>3184</v>
      </c>
      <c r="Z864" t="str">
        <f>IFERROR(VLOOKUP(ROWS($Z$3:Z864),$X$3:$Y$992,2,0),"")</f>
        <v>Výroba a rozvod tepla a klimatizovaného vzduchu,výroba ledu</v>
      </c>
    </row>
    <row r="865" spans="13:26">
      <c r="M865" s="305">
        <f>IF(ISNUMBER(SEARCH(ZAKL_DATA!$B$29,N865)),MAX($M$2:M864)+1,0)</f>
        <v>863</v>
      </c>
      <c r="N865" s="306" t="s">
        <v>3185</v>
      </c>
      <c r="O865" s="323" t="s">
        <v>3186</v>
      </c>
      <c r="P865" s="308"/>
      <c r="Q865" s="309" t="str">
        <f>IFERROR(VLOOKUP(ROWS($Q$3:Q865),$M$3:$N$992,2,0),"")</f>
        <v>Výroba tepla</v>
      </c>
      <c r="R865">
        <f>IF(ISNUMBER(SEARCH('1Př1'!$A$32,N865)),MAX($M$2:M864)+1,0)</f>
        <v>863</v>
      </c>
      <c r="S865" s="306" t="s">
        <v>3185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306" t="s">
        <v>3185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306" t="s">
        <v>3185</v>
      </c>
      <c r="Z865" t="str">
        <f>IFERROR(VLOOKUP(ROWS($Z$3:Z865),$X$3:$Y$992,2,0),"")</f>
        <v>Výroba tepla</v>
      </c>
    </row>
    <row r="866" spans="13:26">
      <c r="M866" s="305">
        <f>IF(ISNUMBER(SEARCH(ZAKL_DATA!$B$29,N866)),MAX($M$2:M865)+1,0)</f>
        <v>864</v>
      </c>
      <c r="N866" s="306" t="s">
        <v>3187</v>
      </c>
      <c r="O866" s="323" t="s">
        <v>3188</v>
      </c>
      <c r="P866" s="308"/>
      <c r="Q866" s="309" t="str">
        <f>IFERROR(VLOOKUP(ROWS($Q$3:Q866),$M$3:$N$992,2,0),"")</f>
        <v>Rozvod tepla</v>
      </c>
      <c r="R866">
        <f>IF(ISNUMBER(SEARCH('1Př1'!$A$32,N866)),MAX($M$2:M865)+1,0)</f>
        <v>864</v>
      </c>
      <c r="S866" s="306" t="s">
        <v>3187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306" t="s">
        <v>3187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306" t="s">
        <v>3187</v>
      </c>
      <c r="Z866" t="str">
        <f>IFERROR(VLOOKUP(ROWS($Z$3:Z866),$X$3:$Y$992,2,0),"")</f>
        <v>Rozvod tepla</v>
      </c>
    </row>
    <row r="867" spans="13:26">
      <c r="M867" s="305">
        <f>IF(ISNUMBER(SEARCH(ZAKL_DATA!$B$29,N867)),MAX($M$2:M866)+1,0)</f>
        <v>865</v>
      </c>
      <c r="N867" s="306" t="s">
        <v>3189</v>
      </c>
      <c r="O867" s="323" t="s">
        <v>3190</v>
      </c>
      <c r="P867" s="308"/>
      <c r="Q867" s="309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306" t="s">
        <v>3189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306" t="s">
        <v>3189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306" t="s">
        <v>3189</v>
      </c>
      <c r="Z867" t="str">
        <f>IFERROR(VLOOKUP(ROWS($Z$3:Z867),$X$3:$Y$992,2,0),"")</f>
        <v>Výroba klimatizovaného vzduchu</v>
      </c>
    </row>
    <row r="868" spans="13:26">
      <c r="M868" s="305">
        <f>IF(ISNUMBER(SEARCH(ZAKL_DATA!$B$29,N868)),MAX($M$2:M867)+1,0)</f>
        <v>866</v>
      </c>
      <c r="N868" s="306" t="s">
        <v>3191</v>
      </c>
      <c r="O868" s="323" t="s">
        <v>3192</v>
      </c>
      <c r="P868" s="308"/>
      <c r="Q868" s="309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306" t="s">
        <v>3191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306" t="s">
        <v>3191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306" t="s">
        <v>3191</v>
      </c>
      <c r="Z868" t="str">
        <f>IFERROR(VLOOKUP(ROWS($Z$3:Z868),$X$3:$Y$992,2,0),"")</f>
        <v>Rozvod klimatizovaného vzduchu</v>
      </c>
    </row>
    <row r="869" spans="13:26">
      <c r="M869" s="305">
        <f>IF(ISNUMBER(SEARCH(ZAKL_DATA!$B$29,N869)),MAX($M$2:M868)+1,0)</f>
        <v>867</v>
      </c>
      <c r="N869" s="306" t="s">
        <v>3193</v>
      </c>
      <c r="O869" s="323" t="s">
        <v>3194</v>
      </c>
      <c r="P869" s="308"/>
      <c r="Q869" s="309" t="str">
        <f>IFERROR(VLOOKUP(ROWS($Q$3:Q869),$M$3:$N$992,2,0),"")</f>
        <v>Výroba chladicí vody</v>
      </c>
      <c r="R869">
        <f>IF(ISNUMBER(SEARCH('1Př1'!$A$32,N869)),MAX($M$2:M868)+1,0)</f>
        <v>867</v>
      </c>
      <c r="S869" s="306" t="s">
        <v>3193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306" t="s">
        <v>3193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306" t="s">
        <v>3193</v>
      </c>
      <c r="Z869" t="str">
        <f>IFERROR(VLOOKUP(ROWS($Z$3:Z869),$X$3:$Y$992,2,0),"")</f>
        <v>Výroba chladicí vody</v>
      </c>
    </row>
    <row r="870" spans="13:26">
      <c r="M870" s="305">
        <f>IF(ISNUMBER(SEARCH(ZAKL_DATA!$B$29,N870)),MAX($M$2:M869)+1,0)</f>
        <v>868</v>
      </c>
      <c r="N870" s="306" t="s">
        <v>3195</v>
      </c>
      <c r="O870" s="323" t="s">
        <v>3196</v>
      </c>
      <c r="P870" s="308"/>
      <c r="Q870" s="309" t="str">
        <f>IFERROR(VLOOKUP(ROWS($Q$3:Q870),$M$3:$N$992,2,0),"")</f>
        <v>Rozvod chladicí vody</v>
      </c>
      <c r="R870">
        <f>IF(ISNUMBER(SEARCH('1Př1'!$A$32,N870)),MAX($M$2:M869)+1,0)</f>
        <v>868</v>
      </c>
      <c r="S870" s="306" t="s">
        <v>3195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306" t="s">
        <v>3195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306" t="s">
        <v>3195</v>
      </c>
      <c r="Z870" t="str">
        <f>IFERROR(VLOOKUP(ROWS($Z$3:Z870),$X$3:$Y$992,2,0),"")</f>
        <v>Rozvod chladicí vody</v>
      </c>
    </row>
    <row r="871" spans="13:26">
      <c r="M871" s="305">
        <f>IF(ISNUMBER(SEARCH(ZAKL_DATA!$B$29,N871)),MAX($M$2:M870)+1,0)</f>
        <v>869</v>
      </c>
      <c r="N871" s="306" t="s">
        <v>3197</v>
      </c>
      <c r="O871" s="323" t="s">
        <v>3198</v>
      </c>
      <c r="P871" s="308"/>
      <c r="Q871" s="309" t="str">
        <f>IFERROR(VLOOKUP(ROWS($Q$3:Q871),$M$3:$N$992,2,0),"")</f>
        <v>Výroba ledu</v>
      </c>
      <c r="R871">
        <f>IF(ISNUMBER(SEARCH('1Př1'!$A$32,N871)),MAX($M$2:M870)+1,0)</f>
        <v>869</v>
      </c>
      <c r="S871" s="306" t="s">
        <v>3197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306" t="s">
        <v>3197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306" t="s">
        <v>3197</v>
      </c>
      <c r="Z871" t="str">
        <f>IFERROR(VLOOKUP(ROWS($Z$3:Z871),$X$3:$Y$992,2,0),"")</f>
        <v>Výroba ledu</v>
      </c>
    </row>
    <row r="872" spans="13:26">
      <c r="M872" s="305">
        <f>IF(ISNUMBER(SEARCH(ZAKL_DATA!$B$29,N872)),MAX($M$2:M871)+1,0)</f>
        <v>870</v>
      </c>
      <c r="N872" s="306" t="s">
        <v>3199</v>
      </c>
      <c r="O872" s="323" t="s">
        <v>3200</v>
      </c>
      <c r="P872" s="308"/>
      <c r="Q872" s="309" t="str">
        <f>IFERROR(VLOOKUP(ROWS($Q$3:Q872),$M$3:$N$992,2,0),"")</f>
        <v>Výstavba nebytových budov</v>
      </c>
      <c r="R872">
        <f>IF(ISNUMBER(SEARCH('1Př1'!$A$32,N872)),MAX($M$2:M871)+1,0)</f>
        <v>870</v>
      </c>
      <c r="S872" s="306" t="s">
        <v>3199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306" t="s">
        <v>3199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306" t="s">
        <v>3199</v>
      </c>
      <c r="Z872" t="str">
        <f>IFERROR(VLOOKUP(ROWS($Z$3:Z872),$X$3:$Y$992,2,0),"")</f>
        <v>Výstavba nebytových budov</v>
      </c>
    </row>
    <row r="873" spans="13:26">
      <c r="M873" s="305">
        <f>IF(ISNUMBER(SEARCH(ZAKL_DATA!$B$29,N873)),MAX($M$2:M872)+1,0)</f>
        <v>871</v>
      </c>
      <c r="N873" s="306" t="s">
        <v>3201</v>
      </c>
      <c r="O873" s="323" t="s">
        <v>3202</v>
      </c>
      <c r="P873" s="308"/>
      <c r="Q873" s="309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306" t="s">
        <v>3201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306" t="s">
        <v>3201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306" t="s">
        <v>3201</v>
      </c>
      <c r="Z873" t="str">
        <f>IFERROR(VLOOKUP(ROWS($Z$3:Z873),$X$3:$Y$992,2,0),"")</f>
        <v>Výstavba inženýrských sítí pro kapaliny</v>
      </c>
    </row>
    <row r="874" spans="13:26">
      <c r="M874" s="305">
        <f>IF(ISNUMBER(SEARCH(ZAKL_DATA!$B$29,N874)),MAX($M$2:M873)+1,0)</f>
        <v>872</v>
      </c>
      <c r="N874" s="306" t="s">
        <v>3203</v>
      </c>
      <c r="O874" s="323" t="s">
        <v>3204</v>
      </c>
      <c r="P874" s="308"/>
      <c r="Q874" s="309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306" t="s">
        <v>3203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306" t="s">
        <v>3203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306" t="s">
        <v>3203</v>
      </c>
      <c r="Z874" t="str">
        <f>IFERROR(VLOOKUP(ROWS($Z$3:Z874),$X$3:$Y$992,2,0),"")</f>
        <v>Výstavba inženýrských sítí pro plyny</v>
      </c>
    </row>
    <row r="875" spans="13:26">
      <c r="M875" s="305">
        <f>IF(ISNUMBER(SEARCH(ZAKL_DATA!$B$29,N875)),MAX($M$2:M874)+1,0)</f>
        <v>873</v>
      </c>
      <c r="N875" s="306" t="s">
        <v>3205</v>
      </c>
      <c r="O875" s="323" t="s">
        <v>3206</v>
      </c>
      <c r="P875" s="308"/>
      <c r="Q875" s="309" t="str">
        <f>IFERROR(VLOOKUP(ROWS($Q$3:Q875),$M$3:$N$992,2,0),"")</f>
        <v>Sklenářské práce</v>
      </c>
      <c r="R875">
        <f>IF(ISNUMBER(SEARCH('1Př1'!$A$32,N875)),MAX($M$2:M874)+1,0)</f>
        <v>873</v>
      </c>
      <c r="S875" s="306" t="s">
        <v>3205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306" t="s">
        <v>3205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306" t="s">
        <v>3205</v>
      </c>
      <c r="Z875" t="str">
        <f>IFERROR(VLOOKUP(ROWS($Z$3:Z875),$X$3:$Y$992,2,0),"")</f>
        <v>Sklenářské práce</v>
      </c>
    </row>
    <row r="876" spans="13:26">
      <c r="M876" s="305">
        <f>IF(ISNUMBER(SEARCH(ZAKL_DATA!$B$29,N876)),MAX($M$2:M875)+1,0)</f>
        <v>874</v>
      </c>
      <c r="N876" s="306" t="s">
        <v>3207</v>
      </c>
      <c r="O876" s="323" t="s">
        <v>3208</v>
      </c>
      <c r="P876" s="308"/>
      <c r="Q876" s="309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306" t="s">
        <v>3207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306" t="s">
        <v>3207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306" t="s">
        <v>3207</v>
      </c>
      <c r="Z876" t="str">
        <f>IFERROR(VLOOKUP(ROWS($Z$3:Z876),$X$3:$Y$992,2,0),"")</f>
        <v>Malířské a natěračské práce</v>
      </c>
    </row>
    <row r="877" spans="13:26">
      <c r="M877" s="305">
        <f>IF(ISNUMBER(SEARCH(ZAKL_DATA!$B$29,N877)),MAX($M$2:M876)+1,0)</f>
        <v>875</v>
      </c>
      <c r="N877" s="306" t="s">
        <v>3209</v>
      </c>
      <c r="O877" s="323" t="s">
        <v>3210</v>
      </c>
      <c r="P877" s="308"/>
      <c r="Q877" s="309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306" t="s">
        <v>3209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306" t="s">
        <v>3209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306" t="s">
        <v>3209</v>
      </c>
      <c r="Z877" t="str">
        <f>IFERROR(VLOOKUP(ROWS($Z$3:Z877),$X$3:$Y$992,2,0),"")</f>
        <v>Montáž a demontáž lešení a bednění</v>
      </c>
    </row>
    <row r="878" spans="13:26">
      <c r="M878" s="305">
        <f>IF(ISNUMBER(SEARCH(ZAKL_DATA!$B$29,N878)),MAX($M$2:M877)+1,0)</f>
        <v>876</v>
      </c>
      <c r="N878" s="306" t="s">
        <v>3211</v>
      </c>
      <c r="O878" s="323" t="s">
        <v>3212</v>
      </c>
      <c r="P878" s="308"/>
      <c r="Q878" s="309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306" t="s">
        <v>3211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306" t="s">
        <v>3211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306" t="s">
        <v>3211</v>
      </c>
      <c r="Z878" t="str">
        <f>IFERROR(VLOOKUP(ROWS($Z$3:Z878),$X$3:$Y$992,2,0),"")</f>
        <v>Jiné specializované stavební činnosti j. n.</v>
      </c>
    </row>
    <row r="879" spans="13:26">
      <c r="M879" s="305">
        <f>IF(ISNUMBER(SEARCH(ZAKL_DATA!$B$29,N879)),MAX($M$2:M878)+1,0)</f>
        <v>877</v>
      </c>
      <c r="N879" s="306" t="s">
        <v>3213</v>
      </c>
      <c r="O879" s="323" t="s">
        <v>3214</v>
      </c>
      <c r="P879" s="308"/>
      <c r="Q879" s="309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306" t="s">
        <v>3213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306" t="s">
        <v>3213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306" t="s">
        <v>3213</v>
      </c>
      <c r="Z879" t="str">
        <f>IFERROR(VLOOKUP(ROWS($Z$3:Z879),$X$3:$Y$992,2,0),"")</f>
        <v>Zprostředkování velkoobchodu a velkoobchod v zastoupení s papír.výrobky</v>
      </c>
    </row>
    <row r="880" spans="13:26">
      <c r="M880" s="305">
        <f>IF(ISNUMBER(SEARCH(ZAKL_DATA!$B$29,N880)),MAX($M$2:M879)+1,0)</f>
        <v>878</v>
      </c>
      <c r="N880" s="306" t="s">
        <v>3215</v>
      </c>
      <c r="O880" s="323" t="s">
        <v>3216</v>
      </c>
      <c r="P880" s="308"/>
      <c r="Q880" s="309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306" t="s">
        <v>3215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306" t="s">
        <v>3215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306" t="s">
        <v>3215</v>
      </c>
      <c r="Z880" t="str">
        <f>IFERROR(VLOOKUP(ROWS($Z$3:Z880),$X$3:$Y$992,2,0),"")</f>
        <v>Zprostř.specializ.velkoobchodu a velkoobchod v zast.s ost.výrobky j.n.</v>
      </c>
    </row>
    <row r="881" spans="13:26">
      <c r="M881" s="305">
        <f>IF(ISNUMBER(SEARCH(ZAKL_DATA!$B$29,N881)),MAX($M$2:M880)+1,0)</f>
        <v>879</v>
      </c>
      <c r="N881" s="306" t="s">
        <v>3217</v>
      </c>
      <c r="O881" s="323" t="s">
        <v>3218</v>
      </c>
      <c r="P881" s="308"/>
      <c r="Q881" s="309" t="str">
        <f>IFERROR(VLOOKUP(ROWS($Q$3:Q881),$M$3:$N$992,2,0),"")</f>
        <v>Velkoobchod s oděvy</v>
      </c>
      <c r="R881">
        <f>IF(ISNUMBER(SEARCH('1Př1'!$A$32,N881)),MAX($M$2:M880)+1,0)</f>
        <v>879</v>
      </c>
      <c r="S881" s="306" t="s">
        <v>3217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306" t="s">
        <v>3217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306" t="s">
        <v>3217</v>
      </c>
      <c r="Z881" t="str">
        <f>IFERROR(VLOOKUP(ROWS($Z$3:Z881),$X$3:$Y$992,2,0),"")</f>
        <v>Velkoobchod s oděvy</v>
      </c>
    </row>
    <row r="882" spans="13:26">
      <c r="M882" s="305">
        <f>IF(ISNUMBER(SEARCH(ZAKL_DATA!$B$29,N882)),MAX($M$2:M881)+1,0)</f>
        <v>880</v>
      </c>
      <c r="N882" s="306" t="s">
        <v>3219</v>
      </c>
      <c r="O882" s="323" t="s">
        <v>3220</v>
      </c>
      <c r="P882" s="308"/>
      <c r="Q882" s="309" t="str">
        <f>IFERROR(VLOOKUP(ROWS($Q$3:Q882),$M$3:$N$992,2,0),"")</f>
        <v>Velkoobchod s obuví</v>
      </c>
      <c r="R882">
        <f>IF(ISNUMBER(SEARCH('1Př1'!$A$32,N882)),MAX($M$2:M881)+1,0)</f>
        <v>880</v>
      </c>
      <c r="S882" s="306" t="s">
        <v>3219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306" t="s">
        <v>3219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306" t="s">
        <v>3219</v>
      </c>
      <c r="Z882" t="str">
        <f>IFERROR(VLOOKUP(ROWS($Z$3:Z882),$X$3:$Y$992,2,0),"")</f>
        <v>Velkoobchod s obuví</v>
      </c>
    </row>
    <row r="883" spans="13:26">
      <c r="M883" s="305">
        <f>IF(ISNUMBER(SEARCH(ZAKL_DATA!$B$29,N883)),MAX($M$2:M882)+1,0)</f>
        <v>881</v>
      </c>
      <c r="N883" s="306" t="s">
        <v>3221</v>
      </c>
      <c r="O883" s="323" t="s">
        <v>3222</v>
      </c>
      <c r="P883" s="308"/>
      <c r="Q883" s="309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306" t="s">
        <v>3221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306" t="s">
        <v>3221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306" t="s">
        <v>3221</v>
      </c>
      <c r="Z883" t="str">
        <f>IFERROR(VLOOKUP(ROWS($Z$3:Z883),$X$3:$Y$992,2,0),"")</f>
        <v>Velkoobchod s porcelánovými, keramickými a skleněnými výrobky</v>
      </c>
    </row>
    <row r="884" spans="13:26">
      <c r="M884" s="305">
        <f>IF(ISNUMBER(SEARCH(ZAKL_DATA!$B$29,N884)),MAX($M$2:M883)+1,0)</f>
        <v>882</v>
      </c>
      <c r="N884" s="306" t="s">
        <v>3223</v>
      </c>
      <c r="O884" s="323" t="s">
        <v>3224</v>
      </c>
      <c r="P884" s="308"/>
      <c r="Q884" s="309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306" t="s">
        <v>3223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306" t="s">
        <v>3223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306" t="s">
        <v>3223</v>
      </c>
      <c r="Z884" t="str">
        <f>IFERROR(VLOOKUP(ROWS($Z$3:Z884),$X$3:$Y$992,2,0),"")</f>
        <v>Velkoobchod s pracími a čisticími prostředky</v>
      </c>
    </row>
    <row r="885" spans="13:26">
      <c r="M885" s="305">
        <f>IF(ISNUMBER(SEARCH(ZAKL_DATA!$B$29,N885)),MAX($M$2:M884)+1,0)</f>
        <v>883</v>
      </c>
      <c r="N885" s="306" t="s">
        <v>3225</v>
      </c>
      <c r="O885" s="323" t="s">
        <v>3226</v>
      </c>
      <c r="P885" s="308"/>
      <c r="Q885" s="309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306" t="s">
        <v>3225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306" t="s">
        <v>3225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306" t="s">
        <v>3225</v>
      </c>
      <c r="Z885" t="str">
        <f>IFERROR(VLOOKUP(ROWS($Z$3:Z885),$X$3:$Y$992,2,0),"")</f>
        <v>Velkoobchod s pevnými palivy a příbuznými výrobky</v>
      </c>
    </row>
    <row r="886" spans="13:26">
      <c r="M886" s="305">
        <f>IF(ISNUMBER(SEARCH(ZAKL_DATA!$B$29,N886)),MAX($M$2:M885)+1,0)</f>
        <v>884</v>
      </c>
      <c r="N886" s="306" t="s">
        <v>3227</v>
      </c>
      <c r="O886" s="323" t="s">
        <v>3228</v>
      </c>
      <c r="P886" s="308"/>
      <c r="Q886" s="309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306" t="s">
        <v>3227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306" t="s">
        <v>3227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306" t="s">
        <v>3227</v>
      </c>
      <c r="Z886" t="str">
        <f>IFERROR(VLOOKUP(ROWS($Z$3:Z886),$X$3:$Y$992,2,0),"")</f>
        <v>Velkoobchod s kapalnými palivy a příbuznými výrobky</v>
      </c>
    </row>
    <row r="887" spans="13:26">
      <c r="M887" s="305">
        <f>IF(ISNUMBER(SEARCH(ZAKL_DATA!$B$29,N887)),MAX($M$2:M886)+1,0)</f>
        <v>885</v>
      </c>
      <c r="N887" s="306" t="s">
        <v>3229</v>
      </c>
      <c r="O887" s="323" t="s">
        <v>3230</v>
      </c>
      <c r="P887" s="308"/>
      <c r="Q887" s="309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306" t="s">
        <v>3229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306" t="s">
        <v>3229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306" t="s">
        <v>3229</v>
      </c>
      <c r="Z887" t="str">
        <f>IFERROR(VLOOKUP(ROWS($Z$3:Z887),$X$3:$Y$992,2,0),"")</f>
        <v>Velkoobchod s plynnými palivy a příbuznými výrobky</v>
      </c>
    </row>
    <row r="888" spans="13:26">
      <c r="M888" s="305">
        <f>IF(ISNUMBER(SEARCH(ZAKL_DATA!$B$29,N888)),MAX($M$2:M887)+1,0)</f>
        <v>886</v>
      </c>
      <c r="N888" s="306" t="s">
        <v>3231</v>
      </c>
      <c r="O888" s="323" t="s">
        <v>3232</v>
      </c>
      <c r="P888" s="308"/>
      <c r="Q888" s="309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306" t="s">
        <v>3231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306" t="s">
        <v>3231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306" t="s">
        <v>3231</v>
      </c>
      <c r="Z888" t="str">
        <f>IFERROR(VLOOKUP(ROWS($Z$3:Z888),$X$3:$Y$992,2,0),"")</f>
        <v>Velkoobchod s papírenskými meziprodukty</v>
      </c>
    </row>
    <row r="889" spans="13:26">
      <c r="M889" s="305">
        <f>IF(ISNUMBER(SEARCH(ZAKL_DATA!$B$29,N889)),MAX($M$2:M888)+1,0)</f>
        <v>887</v>
      </c>
      <c r="N889" s="306" t="s">
        <v>3233</v>
      </c>
      <c r="O889" s="323" t="s">
        <v>3234</v>
      </c>
      <c r="P889" s="308"/>
      <c r="Q889" s="309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306" t="s">
        <v>3233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306" t="s">
        <v>3233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306" t="s">
        <v>3233</v>
      </c>
      <c r="Z889" t="str">
        <f>IFERROR(VLOOKUP(ROWS($Z$3:Z889),$X$3:$Y$992,2,0),"")</f>
        <v>Velkoobchod s ostatními meziprodukty j. n.</v>
      </c>
    </row>
    <row r="890" spans="13:26">
      <c r="M890" s="305">
        <f>IF(ISNUMBER(SEARCH(ZAKL_DATA!$B$29,N890)),MAX($M$2:M889)+1,0)</f>
        <v>888</v>
      </c>
      <c r="N890" s="306" t="s">
        <v>3235</v>
      </c>
      <c r="O890" s="323" t="s">
        <v>3236</v>
      </c>
      <c r="P890" s="308"/>
      <c r="Q890" s="309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306" t="s">
        <v>3235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306" t="s">
        <v>3235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306" t="s">
        <v>3235</v>
      </c>
      <c r="Z890" t="str">
        <f>IFERROR(VLOOKUP(ROWS($Z$3:Z890),$X$3:$Y$992,2,0),"")</f>
        <v>Maloobchod s fotografickým a optickým zařízením a potřebami</v>
      </c>
    </row>
    <row r="891" spans="13:26">
      <c r="M891" s="305">
        <f>IF(ISNUMBER(SEARCH(ZAKL_DATA!$B$29,N891)),MAX($M$2:M890)+1,0)</f>
        <v>889</v>
      </c>
      <c r="N891" s="306" t="s">
        <v>3237</v>
      </c>
      <c r="O891" s="323" t="s">
        <v>3238</v>
      </c>
      <c r="P891" s="308"/>
      <c r="Q891" s="309" t="str">
        <f>IFERROR(VLOOKUP(ROWS($Q$3:Q891),$M$3:$N$992,2,0),"")</f>
        <v>Maloobchod s pevnými palivy</v>
      </c>
      <c r="R891">
        <f>IF(ISNUMBER(SEARCH('1Př1'!$A$32,N891)),MAX($M$2:M890)+1,0)</f>
        <v>889</v>
      </c>
      <c r="S891" s="306" t="s">
        <v>3237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306" t="s">
        <v>3237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306" t="s">
        <v>3237</v>
      </c>
      <c r="Z891" t="str">
        <f>IFERROR(VLOOKUP(ROWS($Z$3:Z891),$X$3:$Y$992,2,0),"")</f>
        <v>Maloobchod s pevnými palivy</v>
      </c>
    </row>
    <row r="892" spans="13:26">
      <c r="M892" s="305">
        <f>IF(ISNUMBER(SEARCH(ZAKL_DATA!$B$29,N892)),MAX($M$2:M891)+1,0)</f>
        <v>890</v>
      </c>
      <c r="N892" s="306" t="s">
        <v>3239</v>
      </c>
      <c r="O892" s="323" t="s">
        <v>3240</v>
      </c>
      <c r="P892" s="308"/>
      <c r="Q892" s="309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306" t="s">
        <v>3239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306" t="s">
        <v>3239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306" t="s">
        <v>3239</v>
      </c>
      <c r="Z892" t="str">
        <f>IFERROR(VLOOKUP(ROWS($Z$3:Z892),$X$3:$Y$992,2,0),"")</f>
        <v>Maloobchod s kapalnými palivy (kromě pohonných hmot)</v>
      </c>
    </row>
    <row r="893" spans="13:26">
      <c r="M893" s="305">
        <f>IF(ISNUMBER(SEARCH(ZAKL_DATA!$B$29,N893)),MAX($M$2:M892)+1,0)</f>
        <v>891</v>
      </c>
      <c r="N893" s="306" t="s">
        <v>3241</v>
      </c>
      <c r="O893" s="323" t="s">
        <v>3242</v>
      </c>
      <c r="P893" s="308"/>
      <c r="Q893" s="309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306" t="s">
        <v>3241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306" t="s">
        <v>3241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306" t="s">
        <v>3241</v>
      </c>
      <c r="Z893" t="str">
        <f>IFERROR(VLOOKUP(ROWS($Z$3:Z893),$X$3:$Y$992,2,0),"")</f>
        <v>Maloobchod s plynnými palivy (kromě pohonných hmot)</v>
      </c>
    </row>
    <row r="894" spans="13:26">
      <c r="M894" s="305">
        <f>IF(ISNUMBER(SEARCH(ZAKL_DATA!$B$29,N894)),MAX($M$2:M893)+1,0)</f>
        <v>892</v>
      </c>
      <c r="N894" s="306" t="s">
        <v>3243</v>
      </c>
      <c r="O894" s="323" t="s">
        <v>3244</v>
      </c>
      <c r="P894" s="308"/>
      <c r="Q894" s="309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306" t="s">
        <v>3243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306" t="s">
        <v>3243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306" t="s">
        <v>3243</v>
      </c>
      <c r="Z894" t="str">
        <f>IFERROR(VLOOKUP(ROWS($Z$3:Z894),$X$3:$Y$992,2,0),"")</f>
        <v>Ostatní maloobchod s novým zbožím ve specializovaných prodejnách j. n.</v>
      </c>
    </row>
    <row r="895" spans="13:26">
      <c r="M895" s="305">
        <f>IF(ISNUMBER(SEARCH(ZAKL_DATA!$B$29,N895)),MAX($M$2:M894)+1,0)</f>
        <v>893</v>
      </c>
      <c r="N895" s="306" t="s">
        <v>3245</v>
      </c>
      <c r="O895" s="323" t="s">
        <v>3246</v>
      </c>
      <c r="P895" s="308"/>
      <c r="Q895" s="309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306" t="s">
        <v>3245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306" t="s">
        <v>3245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306" t="s">
        <v>3245</v>
      </c>
      <c r="Z895" t="str">
        <f>IFERROR(VLOOKUP(ROWS($Z$3:Z895),$X$3:$Y$992,2,0),"")</f>
        <v>Maloobchod prostřednictvím internetu</v>
      </c>
    </row>
    <row r="896" spans="13:26">
      <c r="M896" s="305">
        <f>IF(ISNUMBER(SEARCH(ZAKL_DATA!$B$29,N896)),MAX($M$2:M895)+1,0)</f>
        <v>894</v>
      </c>
      <c r="N896" s="306" t="s">
        <v>3247</v>
      </c>
      <c r="O896" s="323" t="s">
        <v>3248</v>
      </c>
      <c r="P896" s="308"/>
      <c r="Q896" s="309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306" t="s">
        <v>3247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306" t="s">
        <v>3247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306" t="s">
        <v>3247</v>
      </c>
      <c r="Z896" t="str">
        <f>IFERROR(VLOOKUP(ROWS($Z$3:Z896),$X$3:$Y$992,2,0),"")</f>
        <v>Maloobchod prostřednictvím zásilkové služby(jiný než prostř.internetu)</v>
      </c>
    </row>
    <row r="897" spans="13:26">
      <c r="M897" s="305">
        <f>IF(ISNUMBER(SEARCH(ZAKL_DATA!$B$29,N897)),MAX($M$2:M896)+1,0)</f>
        <v>895</v>
      </c>
      <c r="N897" s="306" t="s">
        <v>3249</v>
      </c>
      <c r="O897" s="323" t="s">
        <v>3250</v>
      </c>
      <c r="P897" s="308"/>
      <c r="Q897" s="309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306" t="s">
        <v>3249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306" t="s">
        <v>3249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306" t="s">
        <v>3249</v>
      </c>
      <c r="Z897" t="str">
        <f>IFERROR(VLOOKUP(ROWS($Z$3:Z897),$X$3:$Y$992,2,0),"")</f>
        <v>Meziměstská pravidelná pozemní osobní doprava</v>
      </c>
    </row>
    <row r="898" spans="13:26">
      <c r="M898" s="305">
        <f>IF(ISNUMBER(SEARCH(ZAKL_DATA!$B$29,N898)),MAX($M$2:M897)+1,0)</f>
        <v>896</v>
      </c>
      <c r="N898" s="306" t="s">
        <v>3251</v>
      </c>
      <c r="O898" s="323" t="s">
        <v>3252</v>
      </c>
      <c r="P898" s="308"/>
      <c r="Q898" s="309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306" t="s">
        <v>3251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306" t="s">
        <v>3251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306" t="s">
        <v>3251</v>
      </c>
      <c r="Z898" t="str">
        <f>IFERROR(VLOOKUP(ROWS($Z$3:Z898),$X$3:$Y$992,2,0),"")</f>
        <v>Osobní doprava lanovkou nebo vlekem</v>
      </c>
    </row>
    <row r="899" spans="13:26">
      <c r="M899" s="305">
        <f>IF(ISNUMBER(SEARCH(ZAKL_DATA!$B$29,N899)),MAX($M$2:M898)+1,0)</f>
        <v>897</v>
      </c>
      <c r="N899" s="306" t="s">
        <v>3253</v>
      </c>
      <c r="O899" s="323" t="s">
        <v>3254</v>
      </c>
      <c r="P899" s="308"/>
      <c r="Q899" s="309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306" t="s">
        <v>3253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306" t="s">
        <v>3253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306" t="s">
        <v>3253</v>
      </c>
      <c r="Z899" t="str">
        <f>IFERROR(VLOOKUP(ROWS($Z$3:Z899),$X$3:$Y$992,2,0),"")</f>
        <v>Nepravidelná pozemní osobní doprava</v>
      </c>
    </row>
    <row r="900" spans="13:26">
      <c r="M900" s="305">
        <f>IF(ISNUMBER(SEARCH(ZAKL_DATA!$B$29,N900)),MAX($M$2:M899)+1,0)</f>
        <v>898</v>
      </c>
      <c r="N900" s="306" t="s">
        <v>3255</v>
      </c>
      <c r="O900" s="323" t="s">
        <v>3256</v>
      </c>
      <c r="P900" s="308"/>
      <c r="Q900" s="309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306" t="s">
        <v>3255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306" t="s">
        <v>3255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306" t="s">
        <v>3255</v>
      </c>
      <c r="Z900" t="str">
        <f>IFERROR(VLOOKUP(ROWS($Z$3:Z900),$X$3:$Y$992,2,0),"")</f>
        <v>Jiná pozemní osobní doprava j. n.</v>
      </c>
    </row>
    <row r="901" spans="13:26">
      <c r="M901" s="305">
        <f>IF(ISNUMBER(SEARCH(ZAKL_DATA!$B$29,N901)),MAX($M$2:M900)+1,0)</f>
        <v>899</v>
      </c>
      <c r="N901" s="306" t="s">
        <v>3257</v>
      </c>
      <c r="O901" s="323" t="s">
        <v>3258</v>
      </c>
      <c r="P901" s="308"/>
      <c r="Q901" s="309" t="str">
        <f>IFERROR(VLOOKUP(ROWS($Q$3:Q901),$M$3:$N$992,2,0),"")</f>
        <v>Potrubní doprava ropovodem</v>
      </c>
      <c r="R901">
        <f>IF(ISNUMBER(SEARCH('1Př1'!$A$32,N901)),MAX($M$2:M900)+1,0)</f>
        <v>899</v>
      </c>
      <c r="S901" s="306" t="s">
        <v>3257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306" t="s">
        <v>3257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306" t="s">
        <v>3257</v>
      </c>
      <c r="Z901" t="str">
        <f>IFERROR(VLOOKUP(ROWS($Z$3:Z901),$X$3:$Y$992,2,0),"")</f>
        <v>Potrubní doprava ropovodem</v>
      </c>
    </row>
    <row r="902" spans="13:26">
      <c r="M902" s="305">
        <f>IF(ISNUMBER(SEARCH(ZAKL_DATA!$B$29,N902)),MAX($M$2:M901)+1,0)</f>
        <v>900</v>
      </c>
      <c r="N902" s="306" t="s">
        <v>3259</v>
      </c>
      <c r="O902" s="323" t="s">
        <v>3260</v>
      </c>
      <c r="P902" s="308"/>
      <c r="Q902" s="309" t="str">
        <f>IFERROR(VLOOKUP(ROWS($Q$3:Q902),$M$3:$N$992,2,0),"")</f>
        <v>Potrubní doprava plynovodem</v>
      </c>
      <c r="R902">
        <f>IF(ISNUMBER(SEARCH('1Př1'!$A$32,N902)),MAX($M$2:M901)+1,0)</f>
        <v>900</v>
      </c>
      <c r="S902" s="306" t="s">
        <v>3259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306" t="s">
        <v>3259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306" t="s">
        <v>3259</v>
      </c>
      <c r="Z902" t="str">
        <f>IFERROR(VLOOKUP(ROWS($Z$3:Z902),$X$3:$Y$992,2,0),"")</f>
        <v>Potrubní doprava plynovodem</v>
      </c>
    </row>
    <row r="903" spans="13:26">
      <c r="M903" s="305">
        <f>IF(ISNUMBER(SEARCH(ZAKL_DATA!$B$29,N903)),MAX($M$2:M902)+1,0)</f>
        <v>901</v>
      </c>
      <c r="N903" s="306" t="s">
        <v>3261</v>
      </c>
      <c r="O903" s="323" t="s">
        <v>3262</v>
      </c>
      <c r="P903" s="308"/>
      <c r="Q903" s="309" t="str">
        <f>IFERROR(VLOOKUP(ROWS($Q$3:Q903),$M$3:$N$992,2,0),"")</f>
        <v>Potrubní doprava ostatní</v>
      </c>
      <c r="R903">
        <f>IF(ISNUMBER(SEARCH('1Př1'!$A$32,N903)),MAX($M$2:M902)+1,0)</f>
        <v>901</v>
      </c>
      <c r="S903" s="306" t="s">
        <v>3261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306" t="s">
        <v>3261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306" t="s">
        <v>3261</v>
      </c>
      <c r="Z903" t="str">
        <f>IFERROR(VLOOKUP(ROWS($Z$3:Z903),$X$3:$Y$992,2,0),"")</f>
        <v>Potrubní doprava ostatní</v>
      </c>
    </row>
    <row r="904" spans="13:26">
      <c r="M904" s="305">
        <f>IF(ISNUMBER(SEARCH(ZAKL_DATA!$B$29,N904)),MAX($M$2:M903)+1,0)</f>
        <v>902</v>
      </c>
      <c r="N904" s="306" t="s">
        <v>3263</v>
      </c>
      <c r="O904" s="323" t="s">
        <v>3264</v>
      </c>
      <c r="P904" s="308"/>
      <c r="Q904" s="309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306" t="s">
        <v>3263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306" t="s">
        <v>3263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306" t="s">
        <v>3263</v>
      </c>
      <c r="Z904" t="str">
        <f>IFERROR(VLOOKUP(ROWS($Z$3:Z904),$X$3:$Y$992,2,0),"")</f>
        <v>Vnitrostátní pravidelná letecká osobní doprava</v>
      </c>
    </row>
    <row r="905" spans="13:26">
      <c r="M905" s="305">
        <f>IF(ISNUMBER(SEARCH(ZAKL_DATA!$B$29,N905)),MAX($M$2:M904)+1,0)</f>
        <v>903</v>
      </c>
      <c r="N905" s="306" t="s">
        <v>3265</v>
      </c>
      <c r="O905" s="323" t="s">
        <v>3266</v>
      </c>
      <c r="P905" s="308"/>
      <c r="Q905" s="309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306" t="s">
        <v>3265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306" t="s">
        <v>3265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306" t="s">
        <v>3265</v>
      </c>
      <c r="Z905" t="str">
        <f>IFERROR(VLOOKUP(ROWS($Z$3:Z905),$X$3:$Y$992,2,0),"")</f>
        <v>Vnitrostátní nepravidelná letecká osobní doprava</v>
      </c>
    </row>
    <row r="906" spans="13:26">
      <c r="M906" s="305">
        <f>IF(ISNUMBER(SEARCH(ZAKL_DATA!$B$29,N906)),MAX($M$2:M905)+1,0)</f>
        <v>904</v>
      </c>
      <c r="N906" s="306" t="s">
        <v>3267</v>
      </c>
      <c r="O906" s="323" t="s">
        <v>3268</v>
      </c>
      <c r="P906" s="308"/>
      <c r="Q906" s="309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306" t="s">
        <v>3267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306" t="s">
        <v>3267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306" t="s">
        <v>3267</v>
      </c>
      <c r="Z906" t="str">
        <f>IFERROR(VLOOKUP(ROWS($Z$3:Z906),$X$3:$Y$992,2,0),"")</f>
        <v>Mezinárodní pravidelná letecká osobní doprava</v>
      </c>
    </row>
    <row r="907" spans="13:26">
      <c r="M907" s="305">
        <f>IF(ISNUMBER(SEARCH(ZAKL_DATA!$B$29,N907)),MAX($M$2:M906)+1,0)</f>
        <v>905</v>
      </c>
      <c r="N907" s="306" t="s">
        <v>3269</v>
      </c>
      <c r="O907" s="323" t="s">
        <v>3270</v>
      </c>
      <c r="P907" s="308"/>
      <c r="Q907" s="309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306" t="s">
        <v>3269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306" t="s">
        <v>3269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306" t="s">
        <v>3269</v>
      </c>
      <c r="Z907" t="str">
        <f>IFERROR(VLOOKUP(ROWS($Z$3:Z907),$X$3:$Y$992,2,0),"")</f>
        <v>Mezinárodní nepravidelná letecká osobní doprava</v>
      </c>
    </row>
    <row r="908" spans="13:26">
      <c r="M908" s="305">
        <f>IF(ISNUMBER(SEARCH(ZAKL_DATA!$B$29,N908)),MAX($M$2:M907)+1,0)</f>
        <v>906</v>
      </c>
      <c r="N908" s="306" t="s">
        <v>3271</v>
      </c>
      <c r="O908" s="323" t="s">
        <v>3272</v>
      </c>
      <c r="P908" s="308"/>
      <c r="Q908" s="309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306" t="s">
        <v>3271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306" t="s">
        <v>3271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306" t="s">
        <v>3271</v>
      </c>
      <c r="Z908" t="str">
        <f>IFERROR(VLOOKUP(ROWS($Z$3:Z908),$X$3:$Y$992,2,0),"")</f>
        <v>Ostatní letecká osobní doprava</v>
      </c>
    </row>
    <row r="909" spans="13:26">
      <c r="M909" s="305">
        <f>IF(ISNUMBER(SEARCH(ZAKL_DATA!$B$29,N909)),MAX($M$2:M908)+1,0)</f>
        <v>907</v>
      </c>
      <c r="N909" s="306" t="s">
        <v>3273</v>
      </c>
      <c r="O909" s="323" t="s">
        <v>3274</v>
      </c>
      <c r="P909" s="308"/>
      <c r="Q909" s="309" t="str">
        <f>IFERROR(VLOOKUP(ROWS($Q$3:Q909),$M$3:$N$992,2,0),"")</f>
        <v>Hotely</v>
      </c>
      <c r="R909">
        <f>IF(ISNUMBER(SEARCH('1Př1'!$A$32,N909)),MAX($M$2:M908)+1,0)</f>
        <v>907</v>
      </c>
      <c r="S909" s="306" t="s">
        <v>3273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306" t="s">
        <v>3273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306" t="s">
        <v>3273</v>
      </c>
      <c r="Z909" t="str">
        <f>IFERROR(VLOOKUP(ROWS($Z$3:Z909),$X$3:$Y$992,2,0),"")</f>
        <v>Hotely</v>
      </c>
    </row>
    <row r="910" spans="13:26">
      <c r="M910" s="305">
        <f>IF(ISNUMBER(SEARCH(ZAKL_DATA!$B$29,N910)),MAX($M$2:M909)+1,0)</f>
        <v>908</v>
      </c>
      <c r="N910" s="306" t="s">
        <v>3275</v>
      </c>
      <c r="O910" s="323" t="s">
        <v>3276</v>
      </c>
      <c r="P910" s="308"/>
      <c r="Q910" s="309" t="str">
        <f>IFERROR(VLOOKUP(ROWS($Q$3:Q910),$M$3:$N$992,2,0),"")</f>
        <v>Motely, botely</v>
      </c>
      <c r="R910">
        <f>IF(ISNUMBER(SEARCH('1Př1'!$A$32,N910)),MAX($M$2:M909)+1,0)</f>
        <v>908</v>
      </c>
      <c r="S910" s="306" t="s">
        <v>3275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306" t="s">
        <v>3275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306" t="s">
        <v>3275</v>
      </c>
      <c r="Z910" t="str">
        <f>IFERROR(VLOOKUP(ROWS($Z$3:Z910),$X$3:$Y$992,2,0),"")</f>
        <v>Motely, botely</v>
      </c>
    </row>
    <row r="911" spans="13:26">
      <c r="M911" s="305">
        <f>IF(ISNUMBER(SEARCH(ZAKL_DATA!$B$29,N911)),MAX($M$2:M910)+1,0)</f>
        <v>909</v>
      </c>
      <c r="N911" s="306" t="s">
        <v>3277</v>
      </c>
      <c r="O911" s="323" t="s">
        <v>3278</v>
      </c>
      <c r="P911" s="308"/>
      <c r="Q911" s="309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306" t="s">
        <v>3277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306" t="s">
        <v>3277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306" t="s">
        <v>3277</v>
      </c>
      <c r="Z911" t="str">
        <f>IFERROR(VLOOKUP(ROWS($Z$3:Z911),$X$3:$Y$992,2,0),"")</f>
        <v>Ostatní podobná ubytovací zařízení</v>
      </c>
    </row>
    <row r="912" spans="13:26">
      <c r="M912" s="305">
        <f>IF(ISNUMBER(SEARCH(ZAKL_DATA!$B$29,N912)),MAX($M$2:M911)+1,0)</f>
        <v>910</v>
      </c>
      <c r="N912" s="306" t="s">
        <v>3279</v>
      </c>
      <c r="O912" s="323" t="s">
        <v>3280</v>
      </c>
      <c r="P912" s="308"/>
      <c r="Q912" s="309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306" t="s">
        <v>3279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306" t="s">
        <v>3279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306" t="s">
        <v>3279</v>
      </c>
      <c r="Z912" t="str">
        <f>IFERROR(VLOOKUP(ROWS($Z$3:Z912),$X$3:$Y$992,2,0),"")</f>
        <v>Ubytování v zařízených pronájmech</v>
      </c>
    </row>
    <row r="913" spans="13:26">
      <c r="M913" s="305">
        <f>IF(ISNUMBER(SEARCH(ZAKL_DATA!$B$29,N913)),MAX($M$2:M912)+1,0)</f>
        <v>911</v>
      </c>
      <c r="N913" s="306" t="s">
        <v>3281</v>
      </c>
      <c r="O913" s="323" t="s">
        <v>3282</v>
      </c>
      <c r="P913" s="308"/>
      <c r="Q913" s="309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306" t="s">
        <v>3281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306" t="s">
        <v>3281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306" t="s">
        <v>3281</v>
      </c>
      <c r="Z913" t="str">
        <f>IFERROR(VLOOKUP(ROWS($Z$3:Z913),$X$3:$Y$992,2,0),"")</f>
        <v>Ubytování ve vysokoškolských kolejích, domovech mládeže</v>
      </c>
    </row>
    <row r="914" spans="13:26">
      <c r="M914" s="305">
        <f>IF(ISNUMBER(SEARCH(ZAKL_DATA!$B$29,N914)),MAX($M$2:M913)+1,0)</f>
        <v>912</v>
      </c>
      <c r="N914" s="306" t="s">
        <v>3283</v>
      </c>
      <c r="O914" s="323" t="s">
        <v>3284</v>
      </c>
      <c r="P914" s="308"/>
      <c r="Q914" s="309" t="str">
        <f>IFERROR(VLOOKUP(ROWS($Q$3:Q914),$M$3:$N$992,2,0),"")</f>
        <v>Ostatní ubytování j. n.</v>
      </c>
      <c r="R914">
        <f>IF(ISNUMBER(SEARCH('1Př1'!$A$32,N914)),MAX($M$2:M913)+1,0)</f>
        <v>912</v>
      </c>
      <c r="S914" s="306" t="s">
        <v>3283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306" t="s">
        <v>3283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306" t="s">
        <v>3283</v>
      </c>
      <c r="Z914" t="str">
        <f>IFERROR(VLOOKUP(ROWS($Z$3:Z914),$X$3:$Y$992,2,0),"")</f>
        <v>Ostatní ubytování j. n.</v>
      </c>
    </row>
    <row r="915" spans="13:26">
      <c r="M915" s="305">
        <f>IF(ISNUMBER(SEARCH(ZAKL_DATA!$B$29,N915)),MAX($M$2:M914)+1,0)</f>
        <v>913</v>
      </c>
      <c r="N915" s="306" t="s">
        <v>3285</v>
      </c>
      <c r="O915" s="323" t="s">
        <v>3286</v>
      </c>
      <c r="P915" s="308"/>
      <c r="Q915" s="309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306" t="s">
        <v>3285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306" t="s">
        <v>3285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306" t="s">
        <v>3285</v>
      </c>
      <c r="Z915" t="str">
        <f>IFERROR(VLOOKUP(ROWS($Z$3:Z915),$X$3:$Y$992,2,0),"")</f>
        <v>Stravování v závodních kuchyních</v>
      </c>
    </row>
    <row r="916" spans="13:26">
      <c r="M916" s="305">
        <f>IF(ISNUMBER(SEARCH(ZAKL_DATA!$B$29,N916)),MAX($M$2:M915)+1,0)</f>
        <v>914</v>
      </c>
      <c r="N916" s="306" t="s">
        <v>3287</v>
      </c>
      <c r="O916" s="323" t="s">
        <v>3288</v>
      </c>
      <c r="P916" s="308"/>
      <c r="Q916" s="309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306" t="s">
        <v>3287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306" t="s">
        <v>3287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306" t="s">
        <v>3287</v>
      </c>
      <c r="Z916" t="str">
        <f>IFERROR(VLOOKUP(ROWS($Z$3:Z916),$X$3:$Y$992,2,0),"")</f>
        <v>Stravování ve školních zařízeních, menzách</v>
      </c>
    </row>
    <row r="917" spans="13:26">
      <c r="M917" s="305">
        <f>IF(ISNUMBER(SEARCH(ZAKL_DATA!$B$29,N917)),MAX($M$2:M916)+1,0)</f>
        <v>915</v>
      </c>
      <c r="N917" s="306" t="s">
        <v>3289</v>
      </c>
      <c r="O917" s="323" t="s">
        <v>3290</v>
      </c>
      <c r="P917" s="308"/>
      <c r="Q917" s="309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306" t="s">
        <v>3289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306" t="s">
        <v>3289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306" t="s">
        <v>3289</v>
      </c>
      <c r="Z917" t="str">
        <f>IFERROR(VLOOKUP(ROWS($Z$3:Z917),$X$3:$Y$992,2,0),"")</f>
        <v>Poskytování jiných stravovacích služeb j. n.</v>
      </c>
    </row>
    <row r="918" spans="13:26">
      <c r="M918" s="305">
        <f>IF(ISNUMBER(SEARCH(ZAKL_DATA!$B$29,N918)),MAX($M$2:M917)+1,0)</f>
        <v>916</v>
      </c>
      <c r="N918" s="306" t="s">
        <v>3291</v>
      </c>
      <c r="O918" s="323" t="s">
        <v>3292</v>
      </c>
      <c r="P918" s="308"/>
      <c r="Q918" s="309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306" t="s">
        <v>3291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306" t="s">
        <v>3291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306" t="s">
        <v>3291</v>
      </c>
      <c r="Z918" t="str">
        <f>IFERROR(VLOOKUP(ROWS($Z$3:Z918),$X$3:$Y$992,2,0),"")</f>
        <v>Poskytování hlasových služeb přes pevnou telekomunikační síť</v>
      </c>
    </row>
    <row r="919" spans="13:26">
      <c r="M919" s="305">
        <f>IF(ISNUMBER(SEARCH(ZAKL_DATA!$B$29,N919)),MAX($M$2:M918)+1,0)</f>
        <v>917</v>
      </c>
      <c r="N919" s="306" t="s">
        <v>3293</v>
      </c>
      <c r="O919" s="323" t="s">
        <v>3294</v>
      </c>
      <c r="P919" s="308"/>
      <c r="Q919" s="309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306" t="s">
        <v>3293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306" t="s">
        <v>3293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306" t="s">
        <v>3293</v>
      </c>
      <c r="Z919" t="str">
        <f>IFERROR(VLOOKUP(ROWS($Z$3:Z919),$X$3:$Y$992,2,0),"")</f>
        <v>Pronájem pevné telekomunikační sítě</v>
      </c>
    </row>
    <row r="920" spans="13:26">
      <c r="M920" s="305">
        <f>IF(ISNUMBER(SEARCH(ZAKL_DATA!$B$29,N920)),MAX($M$2:M919)+1,0)</f>
        <v>918</v>
      </c>
      <c r="N920" s="306" t="s">
        <v>3295</v>
      </c>
      <c r="O920" s="323" t="s">
        <v>3296</v>
      </c>
      <c r="P920" s="308"/>
      <c r="Q920" s="309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306" t="s">
        <v>3295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306" t="s">
        <v>3295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306" t="s">
        <v>3295</v>
      </c>
      <c r="Z920" t="str">
        <f>IFERROR(VLOOKUP(ROWS($Z$3:Z920),$X$3:$Y$992,2,0),"")</f>
        <v>Přenos dat přes pevnou telekomunikační síť</v>
      </c>
    </row>
    <row r="921" spans="13:26">
      <c r="M921" s="305">
        <f>IF(ISNUMBER(SEARCH(ZAKL_DATA!$B$29,N921)),MAX($M$2:M920)+1,0)</f>
        <v>919</v>
      </c>
      <c r="N921" s="306" t="s">
        <v>3297</v>
      </c>
      <c r="O921" s="323" t="s">
        <v>3298</v>
      </c>
      <c r="P921" s="308"/>
      <c r="Q921" s="309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306" t="s">
        <v>3297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306" t="s">
        <v>3297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306" t="s">
        <v>3297</v>
      </c>
      <c r="Z921" t="str">
        <f>IFERROR(VLOOKUP(ROWS($Z$3:Z921),$X$3:$Y$992,2,0),"")</f>
        <v>Poskytování přístupu k internetu přes pevnou telekomunikační síť</v>
      </c>
    </row>
    <row r="922" spans="13:26">
      <c r="M922" s="305">
        <f>IF(ISNUMBER(SEARCH(ZAKL_DATA!$B$29,N922)),MAX($M$2:M921)+1,0)</f>
        <v>920</v>
      </c>
      <c r="N922" s="306" t="s">
        <v>3299</v>
      </c>
      <c r="O922" s="323" t="s">
        <v>3300</v>
      </c>
      <c r="P922" s="308"/>
      <c r="Q922" s="309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306" t="s">
        <v>3299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306" t="s">
        <v>3299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306" t="s">
        <v>3299</v>
      </c>
      <c r="Z922" t="str">
        <f>IFERROR(VLOOKUP(ROWS($Z$3:Z922),$X$3:$Y$992,2,0),"")</f>
        <v>Ostatní činnosti související s pevnou telekomunikační sítí</v>
      </c>
    </row>
    <row r="923" spans="13:26">
      <c r="M923" s="305">
        <f>IF(ISNUMBER(SEARCH(ZAKL_DATA!$B$29,N923)),MAX($M$2:M922)+1,0)</f>
        <v>921</v>
      </c>
      <c r="N923" s="306" t="s">
        <v>3301</v>
      </c>
      <c r="O923" s="323" t="s">
        <v>3302</v>
      </c>
      <c r="P923" s="308"/>
      <c r="Q923" s="309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306" t="s">
        <v>3301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306" t="s">
        <v>3301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306" t="s">
        <v>3301</v>
      </c>
      <c r="Z923" t="str">
        <f>IFERROR(VLOOKUP(ROWS($Z$3:Z923),$X$3:$Y$992,2,0),"")</f>
        <v>Poskytování hlasových služeb přes bezdrátovou telekomunikační síť</v>
      </c>
    </row>
    <row r="924" spans="13:26">
      <c r="M924" s="305">
        <f>IF(ISNUMBER(SEARCH(ZAKL_DATA!$B$29,N924)),MAX($M$2:M923)+1,0)</f>
        <v>922</v>
      </c>
      <c r="N924" s="306" t="s">
        <v>3303</v>
      </c>
      <c r="O924" s="323" t="s">
        <v>3304</v>
      </c>
      <c r="P924" s="308"/>
      <c r="Q924" s="309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306" t="s">
        <v>3303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306" t="s">
        <v>3303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306" t="s">
        <v>3303</v>
      </c>
      <c r="Z924" t="str">
        <f>IFERROR(VLOOKUP(ROWS($Z$3:Z924),$X$3:$Y$992,2,0),"")</f>
        <v>Pronájem bezdrátové telekomunikační sítě</v>
      </c>
    </row>
    <row r="925" spans="13:26">
      <c r="M925" s="305">
        <f>IF(ISNUMBER(SEARCH(ZAKL_DATA!$B$29,N925)),MAX($M$2:M924)+1,0)</f>
        <v>923</v>
      </c>
      <c r="N925" s="306" t="s">
        <v>3305</v>
      </c>
      <c r="O925" s="323" t="s">
        <v>3306</v>
      </c>
      <c r="P925" s="308"/>
      <c r="Q925" s="309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306" t="s">
        <v>3305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306" t="s">
        <v>3305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306" t="s">
        <v>3305</v>
      </c>
      <c r="Z925" t="str">
        <f>IFERROR(VLOOKUP(ROWS($Z$3:Z925),$X$3:$Y$992,2,0),"")</f>
        <v>Přenos dat přes bezdrátovou telekomunikační síť</v>
      </c>
    </row>
    <row r="926" spans="13:26">
      <c r="M926" s="305">
        <f>IF(ISNUMBER(SEARCH(ZAKL_DATA!$B$29,N926)),MAX($M$2:M925)+1,0)</f>
        <v>924</v>
      </c>
      <c r="N926" s="306" t="s">
        <v>3307</v>
      </c>
      <c r="O926" s="323" t="s">
        <v>3308</v>
      </c>
      <c r="P926" s="308"/>
      <c r="Q926" s="309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306" t="s">
        <v>3307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306" t="s">
        <v>3307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306" t="s">
        <v>3307</v>
      </c>
      <c r="Z926" t="str">
        <f>IFERROR(VLOOKUP(ROWS($Z$3:Z926),$X$3:$Y$992,2,0),"")</f>
        <v>Poskytování přístupu k internetu přes bezdrátovou telekomunikační síť</v>
      </c>
    </row>
    <row r="927" spans="13:26">
      <c r="M927" s="305">
        <f>IF(ISNUMBER(SEARCH(ZAKL_DATA!$B$29,N927)),MAX($M$2:M926)+1,0)</f>
        <v>925</v>
      </c>
      <c r="N927" s="306" t="s">
        <v>3309</v>
      </c>
      <c r="O927" s="323" t="s">
        <v>3310</v>
      </c>
      <c r="P927" s="308"/>
      <c r="Q927" s="309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306" t="s">
        <v>3309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306" t="s">
        <v>3309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306" t="s">
        <v>3309</v>
      </c>
      <c r="Z927" t="str">
        <f>IFERROR(VLOOKUP(ROWS($Z$3:Z927),$X$3:$Y$992,2,0),"")</f>
        <v>Ostatní činnosti související s bezdrátovou telekomunikační sítí</v>
      </c>
    </row>
    <row r="928" spans="13:26">
      <c r="M928" s="305">
        <f>IF(ISNUMBER(SEARCH(ZAKL_DATA!$B$29,N928)),MAX($M$2:M927)+1,0)</f>
        <v>926</v>
      </c>
      <c r="N928" s="306" t="s">
        <v>3311</v>
      </c>
      <c r="O928" s="323" t="s">
        <v>3312</v>
      </c>
      <c r="P928" s="308"/>
      <c r="Q928" s="309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306" t="s">
        <v>3311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306" t="s">
        <v>3311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306" t="s">
        <v>3311</v>
      </c>
      <c r="Z928" t="str">
        <f>IFERROR(VLOOKUP(ROWS($Z$3:Z928),$X$3:$Y$992,2,0),"")</f>
        <v>Poskytování úvěrů společnostmi, které nepřijímají vklady</v>
      </c>
    </row>
    <row r="929" spans="13:26">
      <c r="M929" s="305">
        <f>IF(ISNUMBER(SEARCH(ZAKL_DATA!$B$29,N929)),MAX($M$2:M928)+1,0)</f>
        <v>927</v>
      </c>
      <c r="N929" s="306" t="s">
        <v>3313</v>
      </c>
      <c r="O929" s="323" t="s">
        <v>3314</v>
      </c>
      <c r="P929" s="308"/>
      <c r="Q929" s="309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306" t="s">
        <v>3313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306" t="s">
        <v>3313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306" t="s">
        <v>3313</v>
      </c>
      <c r="Z929" t="str">
        <f>IFERROR(VLOOKUP(ROWS($Z$3:Z929),$X$3:$Y$992,2,0),"")</f>
        <v>Poskytování obchodních úvěrů</v>
      </c>
    </row>
    <row r="930" spans="13:26">
      <c r="M930" s="305">
        <f>IF(ISNUMBER(SEARCH(ZAKL_DATA!$B$29,N930)),MAX($M$2:M929)+1,0)</f>
        <v>928</v>
      </c>
      <c r="N930" s="306" t="s">
        <v>3315</v>
      </c>
      <c r="O930" s="323" t="s">
        <v>3316</v>
      </c>
      <c r="P930" s="308"/>
      <c r="Q930" s="309" t="str">
        <f>IFERROR(VLOOKUP(ROWS($Q$3:Q930),$M$3:$N$992,2,0),"")</f>
        <v>Činnosti zastaváren</v>
      </c>
      <c r="R930">
        <f>IF(ISNUMBER(SEARCH('1Př1'!$A$32,N930)),MAX($M$2:M929)+1,0)</f>
        <v>928</v>
      </c>
      <c r="S930" s="306" t="s">
        <v>3315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306" t="s">
        <v>3315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306" t="s">
        <v>3315</v>
      </c>
      <c r="Z930" t="str">
        <f>IFERROR(VLOOKUP(ROWS($Z$3:Z930),$X$3:$Y$992,2,0),"")</f>
        <v>Činnosti zastaváren</v>
      </c>
    </row>
    <row r="931" spans="13:26">
      <c r="M931" s="305">
        <f>IF(ISNUMBER(SEARCH(ZAKL_DATA!$B$29,N931)),MAX($M$2:M930)+1,0)</f>
        <v>929</v>
      </c>
      <c r="N931" s="306" t="s">
        <v>3317</v>
      </c>
      <c r="O931" s="323" t="s">
        <v>3318</v>
      </c>
      <c r="P931" s="308"/>
      <c r="Q931" s="309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306" t="s">
        <v>3317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306" t="s">
        <v>3317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306" t="s">
        <v>3317</v>
      </c>
      <c r="Z931" t="str">
        <f>IFERROR(VLOOKUP(ROWS($Z$3:Z931),$X$3:$Y$992,2,0),"")</f>
        <v>Ostatní poskytování úvěrů j. n.</v>
      </c>
    </row>
    <row r="932" spans="13:26">
      <c r="M932" s="305">
        <f>IF(ISNUMBER(SEARCH(ZAKL_DATA!$B$29,N932)),MAX($M$2:M931)+1,0)</f>
        <v>930</v>
      </c>
      <c r="N932" s="306" t="s">
        <v>3319</v>
      </c>
      <c r="O932" s="323" t="s">
        <v>3320</v>
      </c>
      <c r="P932" s="308"/>
      <c r="Q932" s="309" t="str">
        <f>IFERROR(VLOOKUP(ROWS($Q$3:Q932),$M$3:$N$992,2,0),"")</f>
        <v>Faktoringové činnosti</v>
      </c>
      <c r="R932">
        <f>IF(ISNUMBER(SEARCH('1Př1'!$A$32,N932)),MAX($M$2:M931)+1,0)</f>
        <v>930</v>
      </c>
      <c r="S932" s="306" t="s">
        <v>3319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306" t="s">
        <v>3319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306" t="s">
        <v>3319</v>
      </c>
      <c r="Z932" t="str">
        <f>IFERROR(VLOOKUP(ROWS($Z$3:Z932),$X$3:$Y$992,2,0),"")</f>
        <v>Faktoringové činnosti</v>
      </c>
    </row>
    <row r="933" spans="13:26">
      <c r="M933" s="305">
        <f>IF(ISNUMBER(SEARCH(ZAKL_DATA!$B$29,N933)),MAX($M$2:M932)+1,0)</f>
        <v>931</v>
      </c>
      <c r="N933" s="306" t="s">
        <v>3321</v>
      </c>
      <c r="O933" s="323" t="s">
        <v>3322</v>
      </c>
      <c r="P933" s="308"/>
      <c r="Q933" s="309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306" t="s">
        <v>3321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306" t="s">
        <v>3321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306" t="s">
        <v>3321</v>
      </c>
      <c r="Z933" t="str">
        <f>IFERROR(VLOOKUP(ROWS($Z$3:Z933),$X$3:$Y$992,2,0),"")</f>
        <v>Obchodování s cennými papíry na vlastní účet</v>
      </c>
    </row>
    <row r="934" spans="13:26">
      <c r="M934" s="305">
        <f>IF(ISNUMBER(SEARCH(ZAKL_DATA!$B$29,N934)),MAX($M$2:M933)+1,0)</f>
        <v>932</v>
      </c>
      <c r="N934" s="306" t="s">
        <v>3323</v>
      </c>
      <c r="O934" s="323" t="s">
        <v>3324</v>
      </c>
      <c r="P934" s="308"/>
      <c r="Q934" s="309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306" t="s">
        <v>3323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306" t="s">
        <v>3323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306" t="s">
        <v>3323</v>
      </c>
      <c r="Z934" t="str">
        <f>IFERROR(VLOOKUP(ROWS($Z$3:Z934),$X$3:$Y$992,2,0),"")</f>
        <v>Jiné finanční zprostředkování j. n.</v>
      </c>
    </row>
    <row r="935" spans="13:26">
      <c r="M935" s="305">
        <f>IF(ISNUMBER(SEARCH(ZAKL_DATA!$B$29,N935)),MAX($M$2:M934)+1,0)</f>
        <v>933</v>
      </c>
      <c r="N935" s="306" t="s">
        <v>3325</v>
      </c>
      <c r="O935" s="323" t="s">
        <v>3326</v>
      </c>
      <c r="P935" s="308"/>
      <c r="Q935" s="309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306" t="s">
        <v>3325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306" t="s">
        <v>3325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306" t="s">
        <v>3325</v>
      </c>
      <c r="Z935" t="str">
        <f>IFERROR(VLOOKUP(ROWS($Z$3:Z935),$X$3:$Y$992,2,0),"")</f>
        <v>Pronájem vlastních nebo pronajatých nemovitostí s bytovými prostory</v>
      </c>
    </row>
    <row r="936" spans="13:26">
      <c r="M936" s="305">
        <f>IF(ISNUMBER(SEARCH(ZAKL_DATA!$B$29,N936)),MAX($M$2:M935)+1,0)</f>
        <v>934</v>
      </c>
      <c r="N936" s="306" t="s">
        <v>3327</v>
      </c>
      <c r="O936" s="323" t="s">
        <v>3328</v>
      </c>
      <c r="P936" s="308"/>
      <c r="Q936" s="309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306" t="s">
        <v>3327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306" t="s">
        <v>3327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306" t="s">
        <v>3327</v>
      </c>
      <c r="Z936" t="str">
        <f>IFERROR(VLOOKUP(ROWS($Z$3:Z936),$X$3:$Y$992,2,0),"")</f>
        <v>Pronájem vlastních nebo pronajatých nemovitostí s nebytovými prostory</v>
      </c>
    </row>
    <row r="937" spans="13:26">
      <c r="M937" s="305">
        <f>IF(ISNUMBER(SEARCH(ZAKL_DATA!$B$29,N937)),MAX($M$2:M936)+1,0)</f>
        <v>935</v>
      </c>
      <c r="N937" s="306" t="s">
        <v>3329</v>
      </c>
      <c r="O937" s="323" t="s">
        <v>3330</v>
      </c>
      <c r="P937" s="308"/>
      <c r="Q937" s="309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306" t="s">
        <v>3329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306" t="s">
        <v>3329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306" t="s">
        <v>3329</v>
      </c>
      <c r="Z937" t="str">
        <f>IFERROR(VLOOKUP(ROWS($Z$3:Z937),$X$3:$Y$992,2,0),"")</f>
        <v>Správa vlastních nebo pronajatých nemovitostí s bytovými prostory</v>
      </c>
    </row>
    <row r="938" spans="13:26">
      <c r="M938" s="305">
        <f>IF(ISNUMBER(SEARCH(ZAKL_DATA!$B$29,N938)),MAX($M$2:M937)+1,0)</f>
        <v>936</v>
      </c>
      <c r="N938" s="306" t="s">
        <v>3331</v>
      </c>
      <c r="O938" s="323" t="s">
        <v>3332</v>
      </c>
      <c r="P938" s="308"/>
      <c r="Q938" s="309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306" t="s">
        <v>3331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306" t="s">
        <v>3331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306" t="s">
        <v>3331</v>
      </c>
      <c r="Z938" t="str">
        <f>IFERROR(VLOOKUP(ROWS($Z$3:Z938),$X$3:$Y$992,2,0),"")</f>
        <v>Správa vlastních nebo pronajatých nemovitostí s nebytovými prostory</v>
      </c>
    </row>
    <row r="939" spans="13:26">
      <c r="M939" s="305">
        <f>IF(ISNUMBER(SEARCH(ZAKL_DATA!$B$29,N939)),MAX($M$2:M938)+1,0)</f>
        <v>937</v>
      </c>
      <c r="N939" s="306" t="s">
        <v>3333</v>
      </c>
      <c r="O939" s="323" t="s">
        <v>3334</v>
      </c>
      <c r="P939" s="308"/>
      <c r="Q939" s="309" t="str">
        <f>IFERROR(VLOOKUP(ROWS($Q$3:Q939),$M$3:$N$992,2,0),"")</f>
        <v>Geologický průzkum</v>
      </c>
      <c r="R939">
        <f>IF(ISNUMBER(SEARCH('1Př1'!$A$32,N939)),MAX($M$2:M938)+1,0)</f>
        <v>937</v>
      </c>
      <c r="S939" s="306" t="s">
        <v>3333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306" t="s">
        <v>3333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306" t="s">
        <v>3333</v>
      </c>
      <c r="Z939" t="str">
        <f>IFERROR(VLOOKUP(ROWS($Z$3:Z939),$X$3:$Y$992,2,0),"")</f>
        <v>Geologický průzkum</v>
      </c>
    </row>
    <row r="940" spans="13:26">
      <c r="M940" s="305">
        <f>IF(ISNUMBER(SEARCH(ZAKL_DATA!$B$29,N940)),MAX($M$2:M939)+1,0)</f>
        <v>938</v>
      </c>
      <c r="N940" s="306" t="s">
        <v>3335</v>
      </c>
      <c r="O940" s="323" t="s">
        <v>3336</v>
      </c>
      <c r="P940" s="308"/>
      <c r="Q940" s="309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306" t="s">
        <v>3335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306" t="s">
        <v>3335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306" t="s">
        <v>3335</v>
      </c>
      <c r="Z940" t="str">
        <f>IFERROR(VLOOKUP(ROWS($Z$3:Z940),$X$3:$Y$992,2,0),"")</f>
        <v>Zeměměřické a kartografické činnosti</v>
      </c>
    </row>
    <row r="941" spans="13:26">
      <c r="M941" s="305">
        <f>IF(ISNUMBER(SEARCH(ZAKL_DATA!$B$29,N941)),MAX($M$2:M940)+1,0)</f>
        <v>939</v>
      </c>
      <c r="N941" s="306" t="s">
        <v>3337</v>
      </c>
      <c r="O941" s="323" t="s">
        <v>3338</v>
      </c>
      <c r="P941" s="308"/>
      <c r="Q941" s="309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306" t="s">
        <v>3337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306" t="s">
        <v>3337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306" t="s">
        <v>3337</v>
      </c>
      <c r="Z941" t="str">
        <f>IFERROR(VLOOKUP(ROWS($Z$3:Z941),$X$3:$Y$992,2,0),"")</f>
        <v>Hydrometeorologické a meteorologické činnosti</v>
      </c>
    </row>
    <row r="942" spans="13:26">
      <c r="M942" s="305">
        <f>IF(ISNUMBER(SEARCH(ZAKL_DATA!$B$29,N942)),MAX($M$2:M941)+1,0)</f>
        <v>940</v>
      </c>
      <c r="N942" s="306" t="s">
        <v>3339</v>
      </c>
      <c r="O942" s="323" t="s">
        <v>3340</v>
      </c>
      <c r="P942" s="308"/>
      <c r="Q942" s="309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306" t="s">
        <v>3339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306" t="s">
        <v>3339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306" t="s">
        <v>3339</v>
      </c>
      <c r="Z942" t="str">
        <f>IFERROR(VLOOKUP(ROWS($Z$3:Z942),$X$3:$Y$992,2,0),"")</f>
        <v>Ostatní inženýrské činnosti a související technické poradenství j. n.</v>
      </c>
    </row>
    <row r="943" spans="13:26">
      <c r="M943" s="305">
        <f>IF(ISNUMBER(SEARCH(ZAKL_DATA!$B$29,N943)),MAX($M$2:M942)+1,0)</f>
        <v>941</v>
      </c>
      <c r="N943" s="306" t="s">
        <v>3341</v>
      </c>
      <c r="O943" s="323" t="s">
        <v>3342</v>
      </c>
      <c r="P943" s="308"/>
      <c r="Q943" s="309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306" t="s">
        <v>3341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306" t="s">
        <v>3341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306" t="s">
        <v>3341</v>
      </c>
      <c r="Z943" t="str">
        <f>IFERROR(VLOOKUP(ROWS($Z$3:Z943),$X$3:$Y$992,2,0),"")</f>
        <v>Zkoušky a analýzy vyhrazených technických zařízení</v>
      </c>
    </row>
    <row r="944" spans="13:26">
      <c r="M944" s="305">
        <f>IF(ISNUMBER(SEARCH(ZAKL_DATA!$B$29,N944)),MAX($M$2:M943)+1,0)</f>
        <v>942</v>
      </c>
      <c r="N944" s="306" t="s">
        <v>3343</v>
      </c>
      <c r="O944" s="323" t="s">
        <v>3344</v>
      </c>
      <c r="P944" s="308"/>
      <c r="Q944" s="309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306" t="s">
        <v>3343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306" t="s">
        <v>3343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306" t="s">
        <v>3343</v>
      </c>
      <c r="Z944" t="str">
        <f>IFERROR(VLOOKUP(ROWS($Z$3:Z944),$X$3:$Y$992,2,0),"")</f>
        <v>Ostatní technické zkouky a analýzy</v>
      </c>
    </row>
    <row r="945" spans="13:26">
      <c r="M945" s="305">
        <f>IF(ISNUMBER(SEARCH(ZAKL_DATA!$B$29,N945)),MAX($M$2:M944)+1,0)</f>
        <v>943</v>
      </c>
      <c r="N945" s="306" t="s">
        <v>3345</v>
      </c>
      <c r="O945" s="323" t="s">
        <v>2988</v>
      </c>
      <c r="P945" s="308"/>
      <c r="Q945" s="309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306" t="s">
        <v>3345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306" t="s">
        <v>3345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306" t="s">
        <v>3345</v>
      </c>
      <c r="Z945" t="str">
        <f>IFERROR(VLOOKUP(ROWS($Z$3:Z945),$X$3:$Y$992,2,0),"")</f>
        <v>Ostatní výzkum a vývoj v oblasti přírodních a technických věd</v>
      </c>
    </row>
    <row r="946" spans="13:26">
      <c r="M946" s="305">
        <f>IF(ISNUMBER(SEARCH(ZAKL_DATA!$B$29,N946)),MAX($M$2:M945)+1,0)</f>
        <v>944</v>
      </c>
      <c r="N946" s="306" t="s">
        <v>3346</v>
      </c>
      <c r="O946" s="323" t="s">
        <v>3347</v>
      </c>
      <c r="P946" s="308"/>
      <c r="Q946" s="309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306" t="s">
        <v>3346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306" t="s">
        <v>3346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306" t="s">
        <v>3346</v>
      </c>
      <c r="Z946" t="str">
        <f>IFERROR(VLOOKUP(ROWS($Z$3:Z946),$X$3:$Y$992,2,0),"")</f>
        <v>Výzkum a vývoj v oblasti lékařských věd</v>
      </c>
    </row>
    <row r="947" spans="13:26">
      <c r="M947" s="305">
        <f>IF(ISNUMBER(SEARCH(ZAKL_DATA!$B$29,N947)),MAX($M$2:M946)+1,0)</f>
        <v>945</v>
      </c>
      <c r="N947" s="306" t="s">
        <v>3348</v>
      </c>
      <c r="O947" s="323" t="s">
        <v>3349</v>
      </c>
      <c r="P947" s="308"/>
      <c r="Q947" s="309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306" t="s">
        <v>3348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306" t="s">
        <v>3348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306" t="s">
        <v>3348</v>
      </c>
      <c r="Z947" t="str">
        <f>IFERROR(VLOOKUP(ROWS($Z$3:Z947),$X$3:$Y$992,2,0),"")</f>
        <v>Výzkum a vývoj v oblasti technických věd</v>
      </c>
    </row>
    <row r="948" spans="13:26">
      <c r="M948" s="305">
        <f>IF(ISNUMBER(SEARCH(ZAKL_DATA!$B$29,N948)),MAX($M$2:M947)+1,0)</f>
        <v>946</v>
      </c>
      <c r="N948" s="306" t="s">
        <v>3350</v>
      </c>
      <c r="O948" s="323" t="s">
        <v>3351</v>
      </c>
      <c r="P948" s="308"/>
      <c r="Q948" s="309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306" t="s">
        <v>3350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306" t="s">
        <v>3350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306" t="s">
        <v>3350</v>
      </c>
      <c r="Z948" t="str">
        <f>IFERROR(VLOOKUP(ROWS($Z$3:Z948),$X$3:$Y$992,2,0),"")</f>
        <v>Výzkum a vývoj v oblasti jiných přírodních věd</v>
      </c>
    </row>
    <row r="949" spans="13:26">
      <c r="M949" s="305">
        <f>IF(ISNUMBER(SEARCH(ZAKL_DATA!$B$29,N949)),MAX($M$2:M948)+1,0)</f>
        <v>947</v>
      </c>
      <c r="N949" s="306" t="s">
        <v>3352</v>
      </c>
      <c r="O949" s="323" t="s">
        <v>2132</v>
      </c>
      <c r="P949" s="308"/>
      <c r="Q949" s="309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306" t="s">
        <v>3352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306" t="s">
        <v>3352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306" t="s">
        <v>3352</v>
      </c>
      <c r="Z949" t="str">
        <f>IFERROR(VLOOKUP(ROWS($Z$3:Z949),$X$3:$Y$992,2,0),"")</f>
        <v>Ostatní profesní,vědecké a technické činnosti j.n.</v>
      </c>
    </row>
    <row r="950" spans="13:26">
      <c r="M950" s="305">
        <f>IF(ISNUMBER(SEARCH(ZAKL_DATA!$B$29,N950)),MAX($M$2:M949)+1,0)</f>
        <v>948</v>
      </c>
      <c r="N950" s="306" t="s">
        <v>3353</v>
      </c>
      <c r="O950" s="323" t="s">
        <v>3354</v>
      </c>
      <c r="P950" s="308"/>
      <c r="Q950" s="309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306" t="s">
        <v>3353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306" t="s">
        <v>3353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306" t="s">
        <v>3353</v>
      </c>
      <c r="Z950" t="str">
        <f>IFERROR(VLOOKUP(ROWS($Z$3:Z950),$X$3:$Y$992,2,0),"")</f>
        <v>Poradenství v oblasti bezpečnosti a ochrany zdraví při práci</v>
      </c>
    </row>
    <row r="951" spans="13:26">
      <c r="M951" s="305">
        <f>IF(ISNUMBER(SEARCH(ZAKL_DATA!$B$29,N951)),MAX($M$2:M950)+1,0)</f>
        <v>949</v>
      </c>
      <c r="N951" s="306" t="s">
        <v>3355</v>
      </c>
      <c r="O951" s="323" t="s">
        <v>3356</v>
      </c>
      <c r="P951" s="308"/>
      <c r="Q951" s="309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306" t="s">
        <v>3355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306" t="s">
        <v>3355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306" t="s">
        <v>3355</v>
      </c>
      <c r="Z951" t="str">
        <f>IFERROR(VLOOKUP(ROWS($Z$3:Z951),$X$3:$Y$992,2,0),"")</f>
        <v>Poradenství v oblasti požární ochrany</v>
      </c>
    </row>
    <row r="952" spans="13:26">
      <c r="M952" s="305">
        <f>IF(ISNUMBER(SEARCH(ZAKL_DATA!$B$29,N952)),MAX($M$2:M951)+1,0)</f>
        <v>950</v>
      </c>
      <c r="N952" s="306" t="s">
        <v>3357</v>
      </c>
      <c r="O952" s="323" t="s">
        <v>3358</v>
      </c>
      <c r="P952" s="308"/>
      <c r="Q952" s="309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306" t="s">
        <v>3357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306" t="s">
        <v>3357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306" t="s">
        <v>3357</v>
      </c>
      <c r="Z952" t="str">
        <f>IFERROR(VLOOKUP(ROWS($Z$3:Z952),$X$3:$Y$992,2,0),"")</f>
        <v>Jiné profesní, vědecké a technické činnosti j. n.</v>
      </c>
    </row>
    <row r="953" spans="13:26">
      <c r="M953" s="305">
        <f>IF(ISNUMBER(SEARCH(ZAKL_DATA!$B$29,N953)),MAX($M$2:M952)+1,0)</f>
        <v>951</v>
      </c>
      <c r="N953" s="306" t="s">
        <v>3359</v>
      </c>
      <c r="O953" s="323" t="s">
        <v>3360</v>
      </c>
      <c r="P953" s="308"/>
      <c r="Q953" s="309" t="str">
        <f>IFERROR(VLOOKUP(ROWS($Q$3:Q953),$M$3:$N$992,2,0),"")</f>
        <v>Průvodcovské činnosti</v>
      </c>
      <c r="R953">
        <f>IF(ISNUMBER(SEARCH('1Př1'!$A$32,N953)),MAX($M$2:M952)+1,0)</f>
        <v>951</v>
      </c>
      <c r="S953" s="306" t="s">
        <v>3359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306" t="s">
        <v>3359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306" t="s">
        <v>3359</v>
      </c>
      <c r="Z953" t="str">
        <f>IFERROR(VLOOKUP(ROWS($Z$3:Z953),$X$3:$Y$992,2,0),"")</f>
        <v>Průvodcovské činnosti</v>
      </c>
    </row>
    <row r="954" spans="13:26">
      <c r="M954" s="305">
        <f>IF(ISNUMBER(SEARCH(ZAKL_DATA!$B$29,N954)),MAX($M$2:M953)+1,0)</f>
        <v>952</v>
      </c>
      <c r="N954" s="306" t="s">
        <v>3361</v>
      </c>
      <c r="O954" s="323" t="s">
        <v>3362</v>
      </c>
      <c r="P954" s="308"/>
      <c r="Q954" s="309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306" t="s">
        <v>3361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306" t="s">
        <v>3361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306" t="s">
        <v>3361</v>
      </c>
      <c r="Z954" t="str">
        <f>IFERROR(VLOOKUP(ROWS($Z$3:Z954),$X$3:$Y$992,2,0),"")</f>
        <v>Ostatní rezervační a související činnosti j. n.</v>
      </c>
    </row>
    <row r="955" spans="13:26">
      <c r="M955" s="305">
        <f>IF(ISNUMBER(SEARCH(ZAKL_DATA!$B$29,N955)),MAX($M$2:M954)+1,0)</f>
        <v>953</v>
      </c>
      <c r="N955" s="306" t="s">
        <v>3363</v>
      </c>
      <c r="O955" s="323" t="s">
        <v>3364</v>
      </c>
      <c r="P955" s="308"/>
      <c r="Q955" s="309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306" t="s">
        <v>3363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306" t="s">
        <v>3363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306" t="s">
        <v>3363</v>
      </c>
      <c r="Z955" t="str">
        <f>IFERROR(VLOOKUP(ROWS($Z$3:Z955),$X$3:$Y$992,2,0),"")</f>
        <v>Pomoc cizím zemím při katastrof.nebo v nouz.sit.přímo nebo prostř.mez.org.</v>
      </c>
    </row>
    <row r="956" spans="13:26">
      <c r="M956" s="305">
        <f>IF(ISNUMBER(SEARCH(ZAKL_DATA!$B$29,N956)),MAX($M$2:M955)+1,0)</f>
        <v>954</v>
      </c>
      <c r="N956" s="306" t="s">
        <v>3365</v>
      </c>
      <c r="O956" s="323" t="s">
        <v>3366</v>
      </c>
      <c r="P956" s="308"/>
      <c r="Q956" s="309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306" t="s">
        <v>3365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306" t="s">
        <v>3365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306" t="s">
        <v>3365</v>
      </c>
      <c r="Z956" t="str">
        <f>IFERROR(VLOOKUP(ROWS($Z$3:Z956),$X$3:$Y$992,2,0),"")</f>
        <v>Rozvíjení vzájemného přátelství a porozumění mezi národy</v>
      </c>
    </row>
    <row r="957" spans="13:26">
      <c r="M957" s="305">
        <f>IF(ISNUMBER(SEARCH(ZAKL_DATA!$B$29,N957)),MAX($M$2:M956)+1,0)</f>
        <v>955</v>
      </c>
      <c r="N957" s="306" t="s">
        <v>3367</v>
      </c>
      <c r="O957" s="323" t="s">
        <v>3368</v>
      </c>
      <c r="P957" s="308"/>
      <c r="Q957" s="309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306" t="s">
        <v>3367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306" t="s">
        <v>3367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306" t="s">
        <v>3367</v>
      </c>
      <c r="Z957" t="str">
        <f>IFERROR(VLOOKUP(ROWS($Z$3:Z957),$X$3:$Y$992,2,0),"")</f>
        <v>Ostatní činnosti v oblasti zahraničních věcí</v>
      </c>
    </row>
    <row r="958" spans="13:26">
      <c r="M958" s="305">
        <f>IF(ISNUMBER(SEARCH(ZAKL_DATA!$B$29,N958)),MAX($M$2:M957)+1,0)</f>
        <v>956</v>
      </c>
      <c r="N958" s="306" t="s">
        <v>3369</v>
      </c>
      <c r="O958" s="323" t="s">
        <v>3370</v>
      </c>
      <c r="P958" s="308"/>
      <c r="Q958" s="309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306" t="s">
        <v>3369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306" t="s">
        <v>3369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306" t="s">
        <v>3369</v>
      </c>
      <c r="Z958" t="str">
        <f>IFERROR(VLOOKUP(ROWS($Z$3:Z958),$X$3:$Y$992,2,0),"")</f>
        <v>Základní vzdělávání na druhém stupni základních škol</v>
      </c>
    </row>
    <row r="959" spans="13:26">
      <c r="M959" s="305">
        <f>IF(ISNUMBER(SEARCH(ZAKL_DATA!$B$29,N959)),MAX($M$2:M958)+1,0)</f>
        <v>957</v>
      </c>
      <c r="N959" s="306" t="s">
        <v>3371</v>
      </c>
      <c r="O959" s="323" t="s">
        <v>3372</v>
      </c>
      <c r="P959" s="308"/>
      <c r="Q959" s="309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306" t="s">
        <v>3371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306" t="s">
        <v>3371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306" t="s">
        <v>3371</v>
      </c>
      <c r="Z959" t="str">
        <f>IFERROR(VLOOKUP(ROWS($Z$3:Z959),$X$3:$Y$992,2,0),"")</f>
        <v>Střední všeobecné vzdělávání</v>
      </c>
    </row>
    <row r="960" spans="13:26">
      <c r="M960" s="305">
        <f>IF(ISNUMBER(SEARCH(ZAKL_DATA!$B$29,N960)),MAX($M$2:M959)+1,0)</f>
        <v>958</v>
      </c>
      <c r="N960" s="306" t="s">
        <v>3373</v>
      </c>
      <c r="O960" s="323" t="s">
        <v>3374</v>
      </c>
      <c r="P960" s="308"/>
      <c r="Q960" s="309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306" t="s">
        <v>3373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306" t="s">
        <v>3373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306" t="s">
        <v>3373</v>
      </c>
      <c r="Z960" t="str">
        <f>IFERROR(VLOOKUP(ROWS($Z$3:Z960),$X$3:$Y$992,2,0),"")</f>
        <v>Střední odborné vzdělávání na učilištích</v>
      </c>
    </row>
    <row r="961" spans="13:26">
      <c r="M961" s="305">
        <f>IF(ISNUMBER(SEARCH(ZAKL_DATA!$B$29,N961)),MAX($M$2:M960)+1,0)</f>
        <v>959</v>
      </c>
      <c r="N961" s="306" t="s">
        <v>3375</v>
      </c>
      <c r="O961" s="323" t="s">
        <v>3376</v>
      </c>
      <c r="P961" s="308"/>
      <c r="Q961" s="309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306" t="s">
        <v>3375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306" t="s">
        <v>3375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306" t="s">
        <v>3375</v>
      </c>
      <c r="Z961" t="str">
        <f>IFERROR(VLOOKUP(ROWS($Z$3:Z961),$X$3:$Y$992,2,0),"")</f>
        <v>Střední odborné vzdělávání na středních odborných školách</v>
      </c>
    </row>
    <row r="962" spans="13:26">
      <c r="M962" s="305">
        <f>IF(ISNUMBER(SEARCH(ZAKL_DATA!$B$29,N962)),MAX($M$2:M961)+1,0)</f>
        <v>960</v>
      </c>
      <c r="N962" s="306" t="s">
        <v>3377</v>
      </c>
      <c r="O962" s="323" t="s">
        <v>3378</v>
      </c>
      <c r="P962" s="308"/>
      <c r="Q962" s="309" t="str">
        <f>IFERROR(VLOOKUP(ROWS($Q$3:Q962),$M$3:$N$992,2,0),"")</f>
        <v>Činnosti autoškol</v>
      </c>
      <c r="R962">
        <f>IF(ISNUMBER(SEARCH('1Př1'!$A$32,N962)),MAX($M$2:M961)+1,0)</f>
        <v>960</v>
      </c>
      <c r="S962" s="306" t="s">
        <v>3377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306" t="s">
        <v>3377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306" t="s">
        <v>3377</v>
      </c>
      <c r="Z962" t="str">
        <f>IFERROR(VLOOKUP(ROWS($Z$3:Z962),$X$3:$Y$992,2,0),"")</f>
        <v>Činnosti autoškol</v>
      </c>
    </row>
    <row r="963" spans="13:26">
      <c r="M963" s="305">
        <f>IF(ISNUMBER(SEARCH(ZAKL_DATA!$B$29,N963)),MAX($M$2:M962)+1,0)</f>
        <v>961</v>
      </c>
      <c r="N963" s="306" t="s">
        <v>3379</v>
      </c>
      <c r="O963" s="323" t="s">
        <v>3380</v>
      </c>
      <c r="P963" s="308"/>
      <c r="Q963" s="309" t="str">
        <f>IFERROR(VLOOKUP(ROWS($Q$3:Q963),$M$3:$N$992,2,0),"")</f>
        <v>Činnosti leteckých škol</v>
      </c>
      <c r="R963">
        <f>IF(ISNUMBER(SEARCH('1Př1'!$A$32,N963)),MAX($M$2:M962)+1,0)</f>
        <v>961</v>
      </c>
      <c r="S963" s="306" t="s">
        <v>3379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306" t="s">
        <v>3379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306" t="s">
        <v>3379</v>
      </c>
      <c r="Z963" t="str">
        <f>IFERROR(VLOOKUP(ROWS($Z$3:Z963),$X$3:$Y$992,2,0),"")</f>
        <v>Činnosti leteckých škol</v>
      </c>
    </row>
    <row r="964" spans="13:26">
      <c r="M964" s="305">
        <f>IF(ISNUMBER(SEARCH(ZAKL_DATA!$B$29,N964)),MAX($M$2:M963)+1,0)</f>
        <v>962</v>
      </c>
      <c r="N964" s="306" t="s">
        <v>3381</v>
      </c>
      <c r="O964" s="323" t="s">
        <v>3382</v>
      </c>
      <c r="P964" s="308"/>
      <c r="Q964" s="309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306" t="s">
        <v>3381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306" t="s">
        <v>3381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306" t="s">
        <v>3381</v>
      </c>
      <c r="Z964" t="str">
        <f>IFERROR(VLOOKUP(ROWS($Z$3:Z964),$X$3:$Y$992,2,0),"")</f>
        <v>Činnosti ostatních škol řízení</v>
      </c>
    </row>
    <row r="965" spans="13:26">
      <c r="M965" s="305">
        <f>IF(ISNUMBER(SEARCH(ZAKL_DATA!$B$29,N965)),MAX($M$2:M964)+1,0)</f>
        <v>963</v>
      </c>
      <c r="N965" s="306" t="s">
        <v>3383</v>
      </c>
      <c r="O965" s="323" t="s">
        <v>3384</v>
      </c>
      <c r="P965" s="308"/>
      <c r="Q965" s="309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306" t="s">
        <v>3383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306" t="s">
        <v>3383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306" t="s">
        <v>3383</v>
      </c>
      <c r="Z965" t="str">
        <f>IFERROR(VLOOKUP(ROWS($Z$3:Z965),$X$3:$Y$992,2,0),"")</f>
        <v>Vzdělávání v jazykových školách</v>
      </c>
    </row>
    <row r="966" spans="13:26">
      <c r="M966" s="305">
        <f>IF(ISNUMBER(SEARCH(ZAKL_DATA!$B$29,N966)),MAX($M$2:M965)+1,0)</f>
        <v>964</v>
      </c>
      <c r="N966" s="306" t="s">
        <v>3385</v>
      </c>
      <c r="O966" s="323" t="s">
        <v>3386</v>
      </c>
      <c r="P966" s="308"/>
      <c r="Q966" s="309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306" t="s">
        <v>3385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306" t="s">
        <v>3385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306" t="s">
        <v>3385</v>
      </c>
      <c r="Z966" t="str">
        <f>IFERROR(VLOOKUP(ROWS($Z$3:Z966),$X$3:$Y$992,2,0),"")</f>
        <v>Environmentální vzdělávání</v>
      </c>
    </row>
    <row r="967" spans="13:26">
      <c r="M967" s="305">
        <f>IF(ISNUMBER(SEARCH(ZAKL_DATA!$B$29,N967)),MAX($M$2:M966)+1,0)</f>
        <v>965</v>
      </c>
      <c r="N967" s="306" t="s">
        <v>3387</v>
      </c>
      <c r="O967" s="323" t="s">
        <v>3388</v>
      </c>
      <c r="P967" s="308"/>
      <c r="Q967" s="309" t="str">
        <f>IFERROR(VLOOKUP(ROWS($Q$3:Q967),$M$3:$N$992,2,0),"")</f>
        <v>Inovační vzdělávání</v>
      </c>
      <c r="R967">
        <f>IF(ISNUMBER(SEARCH('1Př1'!$A$32,N967)),MAX($M$2:M966)+1,0)</f>
        <v>965</v>
      </c>
      <c r="S967" s="306" t="s">
        <v>3387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306" t="s">
        <v>3387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306" t="s">
        <v>3387</v>
      </c>
      <c r="Z967" t="str">
        <f>IFERROR(VLOOKUP(ROWS($Z$3:Z967),$X$3:$Y$992,2,0),"")</f>
        <v>Inovační vzdělávání</v>
      </c>
    </row>
    <row r="968" spans="13:26">
      <c r="M968" s="305">
        <f>IF(ISNUMBER(SEARCH(ZAKL_DATA!$B$29,N968)),MAX($M$2:M967)+1,0)</f>
        <v>966</v>
      </c>
      <c r="N968" s="306" t="s">
        <v>3389</v>
      </c>
      <c r="O968" s="323" t="s">
        <v>3390</v>
      </c>
      <c r="P968" s="308"/>
      <c r="Q968" s="309" t="str">
        <f>IFERROR(VLOOKUP(ROWS($Q$3:Q968),$M$3:$N$992,2,0),"")</f>
        <v>Jiné vzdělávání j. n.</v>
      </c>
      <c r="R968">
        <f>IF(ISNUMBER(SEARCH('1Př1'!$A$32,N968)),MAX($M$2:M967)+1,0)</f>
        <v>966</v>
      </c>
      <c r="S968" s="306" t="s">
        <v>3389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306" t="s">
        <v>3389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306" t="s">
        <v>3389</v>
      </c>
      <c r="Z968" t="str">
        <f>IFERROR(VLOOKUP(ROWS($Z$3:Z968),$X$3:$Y$992,2,0),"")</f>
        <v>Jiné vzdělávání j. n.</v>
      </c>
    </row>
    <row r="969" spans="13:26">
      <c r="M969" s="305">
        <f>IF(ISNUMBER(SEARCH(ZAKL_DATA!$B$29,N969)),MAX($M$2:M968)+1,0)</f>
        <v>967</v>
      </c>
      <c r="N969" s="306" t="s">
        <v>3391</v>
      </c>
      <c r="O969" s="323" t="s">
        <v>3392</v>
      </c>
      <c r="P969" s="308"/>
      <c r="Q969" s="309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306" t="s">
        <v>3391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306" t="s">
        <v>3391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306" t="s">
        <v>3391</v>
      </c>
      <c r="Z969" t="str">
        <f>IFERROR(VLOOKUP(ROWS($Z$3:Z969),$X$3:$Y$992,2,0),"")</f>
        <v>Činnosti související s ochranou veřejného zdraví</v>
      </c>
    </row>
    <row r="970" spans="13:26">
      <c r="M970" s="305">
        <f>IF(ISNUMBER(SEARCH(ZAKL_DATA!$B$29,N970)),MAX($M$2:M969)+1,0)</f>
        <v>968</v>
      </c>
      <c r="N970" s="306" t="s">
        <v>3393</v>
      </c>
      <c r="O970" s="323" t="s">
        <v>3394</v>
      </c>
      <c r="P970" s="308"/>
      <c r="Q970" s="309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306" t="s">
        <v>3393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306" t="s">
        <v>3393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306" t="s">
        <v>3393</v>
      </c>
      <c r="Z970" t="str">
        <f>IFERROR(VLOOKUP(ROWS($Z$3:Z970),$X$3:$Y$992,2,0),"")</f>
        <v>Ostatní činnosti související se zdravotní péčí j. n.</v>
      </c>
    </row>
    <row r="971" spans="13:26">
      <c r="M971" s="305">
        <f>IF(ISNUMBER(SEARCH(ZAKL_DATA!$B$29,N971)),MAX($M$2:M970)+1,0)</f>
        <v>969</v>
      </c>
      <c r="N971" s="306" t="s">
        <v>3395</v>
      </c>
      <c r="O971" s="323" t="s">
        <v>3396</v>
      </c>
      <c r="P971" s="308"/>
      <c r="Q971" s="309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306" t="s">
        <v>3395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306" t="s">
        <v>3395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306" t="s">
        <v>3395</v>
      </c>
      <c r="Z971" t="str">
        <f>IFERROR(VLOOKUP(ROWS($Z$3:Z971),$X$3:$Y$992,2,0),"")</f>
        <v>Sociální péče v zařízeních pro osoby s chronickým duševním onemocněním</v>
      </c>
    </row>
    <row r="972" spans="13:26">
      <c r="M972" s="305">
        <f>IF(ISNUMBER(SEARCH(ZAKL_DATA!$B$29,N972)),MAX($M$2:M971)+1,0)</f>
        <v>970</v>
      </c>
      <c r="N972" s="306" t="s">
        <v>3397</v>
      </c>
      <c r="O972" s="323" t="s">
        <v>3398</v>
      </c>
      <c r="P972" s="308"/>
      <c r="Q972" s="309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306" t="s">
        <v>3397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306" t="s">
        <v>3397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306" t="s">
        <v>3397</v>
      </c>
      <c r="Z972" t="str">
        <f>IFERROR(VLOOKUP(ROWS($Z$3:Z972),$X$3:$Y$992,2,0),"")</f>
        <v>Sociální péče v zařízeních pro osoby závislé na návykových látkách</v>
      </c>
    </row>
    <row r="973" spans="13:26">
      <c r="M973" s="305">
        <f>IF(ISNUMBER(SEARCH(ZAKL_DATA!$B$29,N973)),MAX($M$2:M972)+1,0)</f>
        <v>971</v>
      </c>
      <c r="N973" s="306" t="s">
        <v>3399</v>
      </c>
      <c r="O973" s="323" t="s">
        <v>3400</v>
      </c>
      <c r="P973" s="308"/>
      <c r="Q973" s="309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306" t="s">
        <v>3399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306" t="s">
        <v>3399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306" t="s">
        <v>3399</v>
      </c>
      <c r="Z973" t="str">
        <f>IFERROR(VLOOKUP(ROWS($Z$3:Z973),$X$3:$Y$992,2,0),"")</f>
        <v>Sociální péče v domovech pro seniory</v>
      </c>
    </row>
    <row r="974" spans="13:26">
      <c r="M974" s="305">
        <f>IF(ISNUMBER(SEARCH(ZAKL_DATA!$B$29,N974)),MAX($M$2:M973)+1,0)</f>
        <v>972</v>
      </c>
      <c r="N974" s="306" t="s">
        <v>3401</v>
      </c>
      <c r="O974" s="323" t="s">
        <v>3402</v>
      </c>
      <c r="P974" s="308"/>
      <c r="Q974" s="309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306" t="s">
        <v>3401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306" t="s">
        <v>3401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306" t="s">
        <v>3401</v>
      </c>
      <c r="Z974" t="str">
        <f>IFERROR(VLOOKUP(ROWS($Z$3:Z974),$X$3:$Y$992,2,0),"")</f>
        <v>Sociální péče v domovech pro osoby se zdravotním postižením</v>
      </c>
    </row>
    <row r="975" spans="13:26">
      <c r="M975" s="305">
        <f>IF(ISNUMBER(SEARCH(ZAKL_DATA!$B$29,N975)),MAX($M$2:M974)+1,0)</f>
        <v>973</v>
      </c>
      <c r="N975" s="306" t="s">
        <v>3403</v>
      </c>
      <c r="O975" s="323" t="s">
        <v>2209</v>
      </c>
      <c r="P975" s="308"/>
      <c r="Q975" s="309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306" t="s">
        <v>3403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306" t="s">
        <v>3403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306" t="s">
        <v>3403</v>
      </c>
      <c r="Z975" t="str">
        <f>IFERROR(VLOOKUP(ROWS($Z$3:Z975),$X$3:$Y$992,2,0),"")</f>
        <v>Mimoústavní sociální péče o seniory a zdravotně postižené osoby</v>
      </c>
    </row>
    <row r="976" spans="13:26">
      <c r="M976" s="305">
        <f>IF(ISNUMBER(SEARCH(ZAKL_DATA!$B$29,N976)),MAX($M$2:M975)+1,0)</f>
        <v>974</v>
      </c>
      <c r="N976" s="306" t="s">
        <v>3404</v>
      </c>
      <c r="O976" s="323" t="s">
        <v>3405</v>
      </c>
      <c r="P976" s="308"/>
      <c r="Q976" s="309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306" t="s">
        <v>3404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306" t="s">
        <v>3404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306" t="s">
        <v>3404</v>
      </c>
      <c r="Z976" t="str">
        <f>IFERROR(VLOOKUP(ROWS($Z$3:Z976),$X$3:$Y$992,2,0),"")</f>
        <v>Ambulantní nebo terénní sociální služby pro seniory</v>
      </c>
    </row>
    <row r="977" spans="13:26">
      <c r="M977" s="305">
        <f>IF(ISNUMBER(SEARCH(ZAKL_DATA!$B$29,N977)),MAX($M$2:M976)+1,0)</f>
        <v>975</v>
      </c>
      <c r="N977" s="306" t="s">
        <v>3406</v>
      </c>
      <c r="O977" s="323" t="s">
        <v>3407</v>
      </c>
      <c r="P977" s="308"/>
      <c r="Q977" s="309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306" t="s">
        <v>3406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306" t="s">
        <v>3406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306" t="s">
        <v>3406</v>
      </c>
      <c r="Z977" t="str">
        <f>IFERROR(VLOOKUP(ROWS($Z$3:Z977),$X$3:$Y$992,2,0),"")</f>
        <v>Ambulantní nebo terénní sociální služby pro osoby se zdrav.postižením</v>
      </c>
    </row>
    <row r="978" spans="13:26">
      <c r="M978" s="305">
        <f>IF(ISNUMBER(SEARCH(ZAKL_DATA!$B$29,N978)),MAX($M$2:M977)+1,0)</f>
        <v>976</v>
      </c>
      <c r="N978" s="306" t="s">
        <v>3408</v>
      </c>
      <c r="O978" s="323" t="s">
        <v>3409</v>
      </c>
      <c r="P978" s="308"/>
      <c r="Q978" s="309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306" t="s">
        <v>3408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306" t="s">
        <v>3408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306" t="s">
        <v>3408</v>
      </c>
      <c r="Z978" t="str">
        <f>IFERROR(VLOOKUP(ROWS($Z$3:Z978),$X$3:$Y$992,2,0),"")</f>
        <v>Sociální služby pro uprchlíky, oběti katastrof</v>
      </c>
    </row>
    <row r="979" spans="13:26">
      <c r="M979" s="305">
        <f>IF(ISNUMBER(SEARCH(ZAKL_DATA!$B$29,N979)),MAX($M$2:M978)+1,0)</f>
        <v>977</v>
      </c>
      <c r="N979" s="306" t="s">
        <v>3410</v>
      </c>
      <c r="O979" s="323" t="s">
        <v>3411</v>
      </c>
      <c r="P979" s="308"/>
      <c r="Q979" s="309" t="str">
        <f>IFERROR(VLOOKUP(ROWS($Q$3:Q979),$M$3:$N$992,2,0),"")</f>
        <v>Sociální prevence</v>
      </c>
      <c r="R979">
        <f>IF(ISNUMBER(SEARCH('1Př1'!$A$32,N979)),MAX($M$2:M978)+1,0)</f>
        <v>977</v>
      </c>
      <c r="S979" s="306" t="s">
        <v>3410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306" t="s">
        <v>3410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306" t="s">
        <v>3410</v>
      </c>
      <c r="Z979" t="str">
        <f>IFERROR(VLOOKUP(ROWS($Z$3:Z979),$X$3:$Y$992,2,0),"")</f>
        <v>Sociální prevence</v>
      </c>
    </row>
    <row r="980" spans="13:26">
      <c r="M980" s="305">
        <f>IF(ISNUMBER(SEARCH(ZAKL_DATA!$B$29,N980)),MAX($M$2:M979)+1,0)</f>
        <v>978</v>
      </c>
      <c r="N980" s="306" t="s">
        <v>3412</v>
      </c>
      <c r="O980" s="323" t="s">
        <v>3413</v>
      </c>
      <c r="P980" s="308"/>
      <c r="Q980" s="309" t="str">
        <f>IFERROR(VLOOKUP(ROWS($Q$3:Q980),$M$3:$N$992,2,0),"")</f>
        <v>Sociální rehabilitace</v>
      </c>
      <c r="R980">
        <f>IF(ISNUMBER(SEARCH('1Př1'!$A$32,N980)),MAX($M$2:M979)+1,0)</f>
        <v>978</v>
      </c>
      <c r="S980" s="306" t="s">
        <v>3412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306" t="s">
        <v>3412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306" t="s">
        <v>3412</v>
      </c>
      <c r="Z980" t="str">
        <f>IFERROR(VLOOKUP(ROWS($Z$3:Z980),$X$3:$Y$992,2,0),"")</f>
        <v>Sociální rehabilitace</v>
      </c>
    </row>
    <row r="981" spans="13:26">
      <c r="M981" s="305">
        <f>IF(ISNUMBER(SEARCH(ZAKL_DATA!$B$29,N981)),MAX($M$2:M980)+1,0)</f>
        <v>979</v>
      </c>
      <c r="N981" s="306" t="s">
        <v>3414</v>
      </c>
      <c r="O981" s="323" t="s">
        <v>3415</v>
      </c>
      <c r="P981" s="308"/>
      <c r="Q981" s="309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306" t="s">
        <v>3414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306" t="s">
        <v>3414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306" t="s">
        <v>3414</v>
      </c>
      <c r="Z981" t="str">
        <f>IFERROR(VLOOKUP(ROWS($Z$3:Z981),$X$3:$Y$992,2,0),"")</f>
        <v>Jiné ambulantní nebo terénní sociální služby j. n.</v>
      </c>
    </row>
    <row r="982" spans="13:26">
      <c r="M982" s="305">
        <f>IF(ISNUMBER(SEARCH(ZAKL_DATA!$B$29,N982)),MAX($M$2:M981)+1,0)</f>
        <v>980</v>
      </c>
      <c r="N982" s="306" t="s">
        <v>3416</v>
      </c>
      <c r="O982" s="323" t="s">
        <v>3096</v>
      </c>
      <c r="P982" s="308"/>
      <c r="Q982" s="309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306" t="s">
        <v>3416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306" t="s">
        <v>3416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306" t="s">
        <v>3416</v>
      </c>
      <c r="Z982" t="str">
        <f>IFERROR(VLOOKUP(ROWS($Z$3:Z982),$X$3:$Y$992,2,0),"")</f>
        <v>Činnosti botanických a zoologických zahrad,přírod.rezervací a národ.parků</v>
      </c>
    </row>
    <row r="983" spans="13:26">
      <c r="M983" s="305">
        <f>IF(ISNUMBER(SEARCH(ZAKL_DATA!$B$29,N983)),MAX($M$2:M982)+1,0)</f>
        <v>981</v>
      </c>
      <c r="N983" s="306" t="s">
        <v>3417</v>
      </c>
      <c r="O983" s="323" t="s">
        <v>3418</v>
      </c>
      <c r="P983" s="308"/>
      <c r="Q983" s="309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306" t="s">
        <v>3417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306" t="s">
        <v>3417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306" t="s">
        <v>3417</v>
      </c>
      <c r="Z983" t="str">
        <f>IFERROR(VLOOKUP(ROWS($Z$3:Z983),$X$3:$Y$992,2,0),"")</f>
        <v>Činnosti botanických a zoologických zahrad</v>
      </c>
    </row>
    <row r="984" spans="13:26">
      <c r="M984" s="305">
        <f>IF(ISNUMBER(SEARCH(ZAKL_DATA!$B$29,N984)),MAX($M$2:M983)+1,0)</f>
        <v>982</v>
      </c>
      <c r="N984" s="306" t="s">
        <v>3419</v>
      </c>
      <c r="O984" s="323" t="s">
        <v>3420</v>
      </c>
      <c r="P984" s="308"/>
      <c r="Q984" s="309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306" t="s">
        <v>3419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306" t="s">
        <v>3419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306" t="s">
        <v>3419</v>
      </c>
      <c r="Z984" t="str">
        <f>IFERROR(VLOOKUP(ROWS($Z$3:Z984),$X$3:$Y$992,2,0),"")</f>
        <v>Činnosti přírodních rezervací a národních parků</v>
      </c>
    </row>
    <row r="985" spans="13:26">
      <c r="M985" s="305">
        <f>IF(ISNUMBER(SEARCH(ZAKL_DATA!$B$29,N985)),MAX($M$2:M984)+1,0)</f>
        <v>983</v>
      </c>
      <c r="N985" s="306" t="s">
        <v>3421</v>
      </c>
      <c r="O985" s="323" t="s">
        <v>3422</v>
      </c>
      <c r="P985" s="308"/>
      <c r="Q985" s="309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306" t="s">
        <v>3421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306" t="s">
        <v>3421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306" t="s">
        <v>3421</v>
      </c>
      <c r="Z985" t="str">
        <f>IFERROR(VLOOKUP(ROWS($Z$3:Z985),$X$3:$Y$992,2,0),"")</f>
        <v>Činnosti organizací dětí a mládeže</v>
      </c>
    </row>
    <row r="986" spans="13:26">
      <c r="M986" s="305">
        <f>IF(ISNUMBER(SEARCH(ZAKL_DATA!$B$29,N986)),MAX($M$2:M985)+1,0)</f>
        <v>984</v>
      </c>
      <c r="N986" s="306" t="s">
        <v>3423</v>
      </c>
      <c r="O986" s="323" t="s">
        <v>3424</v>
      </c>
      <c r="P986" s="308"/>
      <c r="Q986" s="309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306" t="s">
        <v>3423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306" t="s">
        <v>3423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306" t="s">
        <v>3423</v>
      </c>
      <c r="Z986" t="str">
        <f>IFERROR(VLOOKUP(ROWS($Z$3:Z986),$X$3:$Y$992,2,0),"")</f>
        <v>Činnosti organizací na podporu kulturní činnosti</v>
      </c>
    </row>
    <row r="987" spans="13:26">
      <c r="M987" s="305">
        <f>IF(ISNUMBER(SEARCH(ZAKL_DATA!$B$29,N987)),MAX($M$2:M986)+1,0)</f>
        <v>985</v>
      </c>
      <c r="N987" s="306" t="s">
        <v>3425</v>
      </c>
      <c r="O987" s="323" t="s">
        <v>3426</v>
      </c>
      <c r="P987" s="308"/>
      <c r="Q987" s="309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306" t="s">
        <v>3425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306" t="s">
        <v>3425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306" t="s">
        <v>3425</v>
      </c>
      <c r="Z987" t="str">
        <f>IFERROR(VLOOKUP(ROWS($Z$3:Z987),$X$3:$Y$992,2,0),"")</f>
        <v>Činnosti organizací na podporu rekreační a zájmové činnosti</v>
      </c>
    </row>
    <row r="988" spans="13:26">
      <c r="M988" s="305">
        <f>IF(ISNUMBER(SEARCH(ZAKL_DATA!$B$29,N988)),MAX($M$2:M987)+1,0)</f>
        <v>986</v>
      </c>
      <c r="N988" s="306" t="s">
        <v>3427</v>
      </c>
      <c r="O988" s="323" t="s">
        <v>3428</v>
      </c>
      <c r="P988" s="308"/>
      <c r="Q988" s="309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306" t="s">
        <v>3427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306" t="s">
        <v>3427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306" t="s">
        <v>3427</v>
      </c>
      <c r="Z988" t="str">
        <f>IFERROR(VLOOKUP(ROWS($Z$3:Z988),$X$3:$Y$992,2,0),"")</f>
        <v>Činnosti spotřebitelských organizací</v>
      </c>
    </row>
    <row r="989" spans="13:26">
      <c r="M989" s="305">
        <f>IF(ISNUMBER(SEARCH(ZAKL_DATA!$B$29,N989)),MAX($M$2:M988)+1,0)</f>
        <v>987</v>
      </c>
      <c r="N989" s="306" t="s">
        <v>3429</v>
      </c>
      <c r="O989" s="323" t="s">
        <v>3430</v>
      </c>
      <c r="P989" s="308"/>
      <c r="Q989" s="309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306" t="s">
        <v>3429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306" t="s">
        <v>3429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306" t="s">
        <v>3429</v>
      </c>
      <c r="Z989" t="str">
        <f>IFERROR(VLOOKUP(ROWS($Z$3:Z989),$X$3:$Y$992,2,0),"")</f>
        <v>Činnosti environmentálních a ekologických hnutí</v>
      </c>
    </row>
    <row r="990" spans="13:26">
      <c r="M990" s="305">
        <f>IF(ISNUMBER(SEARCH(ZAKL_DATA!$B$29,N990)),MAX($M$2:M989)+1,0)</f>
        <v>988</v>
      </c>
      <c r="N990" s="306" t="s">
        <v>3431</v>
      </c>
      <c r="O990" s="323" t="s">
        <v>3432</v>
      </c>
      <c r="P990" s="308"/>
      <c r="Q990" s="309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306" t="s">
        <v>3431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306" t="s">
        <v>3431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306" t="s">
        <v>3431</v>
      </c>
      <c r="Z990" t="str">
        <f>IFERROR(VLOOKUP(ROWS($Z$3:Z990),$X$3:$Y$992,2,0),"")</f>
        <v>Čin.org.na ochranu a zlepšení postavení etnických,menšin.a jiných spec.sk.</v>
      </c>
    </row>
    <row r="991" spans="13:26">
      <c r="M991" s="305">
        <f>IF(ISNUMBER(SEARCH(ZAKL_DATA!$B$29,N991)),MAX($M$2:M990)+1,0)</f>
        <v>989</v>
      </c>
      <c r="N991" s="306" t="s">
        <v>3433</v>
      </c>
      <c r="O991" s="323" t="s">
        <v>3434</v>
      </c>
      <c r="P991" s="308"/>
      <c r="Q991" s="309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306" t="s">
        <v>3433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306" t="s">
        <v>3433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306" t="s">
        <v>3433</v>
      </c>
      <c r="Z991" t="str">
        <f>IFERROR(VLOOKUP(ROWS($Z$3:Z991),$X$3:$Y$992,2,0),"")</f>
        <v>Činnosti občanských iniciativ, protestních hnutí</v>
      </c>
    </row>
    <row r="992" spans="13:26" ht="13.5" thickBot="1">
      <c r="M992" s="305">
        <f>IF(ISNUMBER(SEARCH(ZAKL_DATA!$B$29,N992)),MAX($M$2:M991)+1,0)</f>
        <v>990</v>
      </c>
      <c r="N992" s="331" t="s">
        <v>3435</v>
      </c>
      <c r="O992" s="332" t="s">
        <v>3436</v>
      </c>
      <c r="P992" s="308"/>
      <c r="Q992" s="333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31" t="s">
        <v>3435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31" t="s">
        <v>3435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31" t="s">
        <v>3435</v>
      </c>
      <c r="Z992" t="str">
        <f>IFERROR(VLOOKUP(ROWS($Z$3:Z992),$X$3:$Y$992,2,0),"")</f>
        <v>Činnosti ostatních organizací j. n.</v>
      </c>
    </row>
  </sheetData>
  <dataValidations disablePrompts="1" count="1">
    <dataValidation type="list" allowBlank="1" showInputMessage="1" sqref="B20" xr:uid="{00000000-0002-0000-0000-000000000000}">
      <formula1>validation_list2</formula1>
    </dataValidation>
  </dataValidation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rgb="FFFFCCFF"/>
  </sheetPr>
  <dimension ref="A1:E49"/>
  <sheetViews>
    <sheetView workbookViewId="0">
      <selection activeCell="C31" sqref="C31"/>
    </sheetView>
  </sheetViews>
  <sheetFormatPr defaultColWidth="9.140625" defaultRowHeight="12.75"/>
  <cols>
    <col min="1" max="1" width="37.140625" style="48" customWidth="1"/>
    <col min="2" max="3" width="29.85546875" style="48" customWidth="1"/>
    <col min="4" max="16384" width="9.140625" style="48"/>
  </cols>
  <sheetData>
    <row r="1" spans="1:5">
      <c r="A1" s="1283" t="s">
        <v>3548</v>
      </c>
      <c r="B1" s="1283"/>
      <c r="C1" s="1283"/>
    </row>
    <row r="2" spans="1:5" ht="18">
      <c r="A2" s="1289" t="s">
        <v>242</v>
      </c>
      <c r="B2" s="1289"/>
      <c r="C2" s="1289"/>
      <c r="D2" s="49"/>
      <c r="E2" s="49"/>
    </row>
    <row r="3" spans="1:5" ht="15.75">
      <c r="A3" s="1290" t="s">
        <v>3855</v>
      </c>
      <c r="B3" s="1290"/>
      <c r="C3" s="1290"/>
      <c r="D3" s="49"/>
      <c r="E3" s="49"/>
    </row>
    <row r="4" spans="1:5">
      <c r="A4" s="1291"/>
      <c r="B4" s="1291"/>
      <c r="C4" s="1291"/>
      <c r="D4" s="49"/>
      <c r="E4" s="49"/>
    </row>
    <row r="5" spans="1:5" ht="16.5" thickBot="1">
      <c r="A5" s="50" t="s">
        <v>8</v>
      </c>
      <c r="B5" s="1286" t="str">
        <f>+CONCATENATE(ZAKL_DATA!B5," ",ZAKL_DATA!B4," ",ZAKL_DATA!B7)</f>
        <v xml:space="preserve">  </v>
      </c>
      <c r="C5" s="1287"/>
      <c r="D5" s="49"/>
      <c r="E5" s="49"/>
    </row>
    <row r="6" spans="1:5" ht="15.95" customHeight="1" thickBot="1">
      <c r="A6" s="51" t="s">
        <v>9</v>
      </c>
      <c r="B6" s="52" t="s">
        <v>10</v>
      </c>
      <c r="C6" s="53" t="s">
        <v>11</v>
      </c>
      <c r="D6" s="49"/>
      <c r="E6" s="49"/>
    </row>
    <row r="7" spans="1:5" ht="15.95" customHeight="1">
      <c r="A7" s="54" t="s">
        <v>12</v>
      </c>
      <c r="B7" s="150">
        <v>0</v>
      </c>
      <c r="C7" s="151">
        <v>0</v>
      </c>
      <c r="D7" s="49"/>
      <c r="E7" s="49"/>
    </row>
    <row r="8" spans="1:5" ht="15.95" customHeight="1">
      <c r="A8" s="55" t="s">
        <v>101</v>
      </c>
      <c r="B8" s="152">
        <v>0</v>
      </c>
      <c r="C8" s="153">
        <v>0</v>
      </c>
      <c r="D8" s="49"/>
      <c r="E8" s="49"/>
    </row>
    <row r="9" spans="1:5" ht="15.95" customHeight="1">
      <c r="A9" s="55" t="s">
        <v>308</v>
      </c>
      <c r="B9" s="152">
        <v>0</v>
      </c>
      <c r="C9" s="153">
        <v>0</v>
      </c>
      <c r="D9" s="49"/>
      <c r="E9" s="49"/>
    </row>
    <row r="10" spans="1:5" ht="15.95" customHeight="1">
      <c r="A10" s="55" t="s">
        <v>311</v>
      </c>
      <c r="B10" s="152">
        <v>0</v>
      </c>
      <c r="C10" s="153">
        <v>0</v>
      </c>
      <c r="D10" s="49"/>
      <c r="E10" s="49"/>
    </row>
    <row r="11" spans="1:5" ht="15.95" customHeight="1">
      <c r="A11" s="55" t="s">
        <v>102</v>
      </c>
      <c r="B11" s="152">
        <v>0</v>
      </c>
      <c r="C11" s="153">
        <v>0</v>
      </c>
      <c r="D11" s="49"/>
      <c r="E11" s="49"/>
    </row>
    <row r="12" spans="1:5" ht="15.95" customHeight="1">
      <c r="A12" s="55" t="s">
        <v>143</v>
      </c>
      <c r="B12" s="152">
        <v>0</v>
      </c>
      <c r="C12" s="153">
        <v>0</v>
      </c>
      <c r="D12" s="49"/>
      <c r="E12" s="49"/>
    </row>
    <row r="13" spans="1:5" ht="15.95" customHeight="1">
      <c r="A13" s="55" t="s">
        <v>3549</v>
      </c>
      <c r="B13" s="152">
        <v>0</v>
      </c>
      <c r="C13" s="153">
        <v>0</v>
      </c>
      <c r="D13" s="49"/>
      <c r="E13" s="49"/>
    </row>
    <row r="14" spans="1:5" ht="15.95" customHeight="1">
      <c r="A14" s="55" t="s">
        <v>3550</v>
      </c>
      <c r="B14" s="152">
        <v>0</v>
      </c>
      <c r="C14" s="153">
        <v>0</v>
      </c>
      <c r="D14" s="49"/>
      <c r="E14" s="49"/>
    </row>
    <row r="15" spans="1:5" ht="15.95" customHeight="1">
      <c r="A15" s="55" t="s">
        <v>13</v>
      </c>
      <c r="B15" s="152">
        <v>0</v>
      </c>
      <c r="C15" s="153">
        <v>0</v>
      </c>
      <c r="D15" s="49"/>
      <c r="E15" s="49"/>
    </row>
    <row r="16" spans="1:5" ht="15.95" customHeight="1">
      <c r="A16" s="56" t="s">
        <v>14</v>
      </c>
      <c r="B16" s="154">
        <f>SUM(B7:B15)</f>
        <v>0</v>
      </c>
      <c r="C16" s="155">
        <f>SUM(C7:C15)</f>
        <v>0</v>
      </c>
      <c r="D16" s="49"/>
      <c r="E16" s="49"/>
    </row>
    <row r="17" spans="1:5" ht="15.95" customHeight="1" thickBot="1">
      <c r="A17" s="57" t="s">
        <v>15</v>
      </c>
      <c r="B17" s="156">
        <f>SUM(B7:B16)</f>
        <v>0</v>
      </c>
      <c r="C17" s="157">
        <f>SUM(C7:C16)</f>
        <v>0</v>
      </c>
      <c r="D17" s="49"/>
      <c r="E17" s="49"/>
    </row>
    <row r="18" spans="1:5" ht="15.95" customHeight="1" thickBot="1">
      <c r="A18" s="58" t="s">
        <v>16</v>
      </c>
      <c r="B18" s="158"/>
      <c r="C18" s="159"/>
      <c r="D18" s="49"/>
      <c r="E18" s="49"/>
    </row>
    <row r="19" spans="1:5" ht="15.95" customHeight="1">
      <c r="A19" s="54" t="s">
        <v>3551</v>
      </c>
      <c r="B19" s="150">
        <v>0</v>
      </c>
      <c r="C19" s="151">
        <v>0</v>
      </c>
      <c r="D19" s="49"/>
      <c r="E19" s="49"/>
    </row>
    <row r="20" spans="1:5" ht="15.95" customHeight="1">
      <c r="A20" s="55" t="s">
        <v>3552</v>
      </c>
      <c r="B20" s="152">
        <v>0</v>
      </c>
      <c r="C20" s="153">
        <v>0</v>
      </c>
      <c r="D20" s="49"/>
      <c r="E20" s="49"/>
    </row>
    <row r="21" spans="1:5" ht="15.95" customHeight="1">
      <c r="A21" s="55" t="s">
        <v>17</v>
      </c>
      <c r="B21" s="152">
        <v>0</v>
      </c>
      <c r="C21" s="153">
        <v>0</v>
      </c>
      <c r="D21" s="49"/>
      <c r="E21" s="49"/>
    </row>
    <row r="22" spans="1:5" ht="15.95" customHeight="1">
      <c r="A22" s="55" t="s">
        <v>312</v>
      </c>
      <c r="B22" s="152">
        <v>0</v>
      </c>
      <c r="C22" s="153">
        <v>0</v>
      </c>
      <c r="D22" s="49"/>
      <c r="E22" s="49"/>
    </row>
    <row r="23" spans="1:5" ht="15.95" customHeight="1">
      <c r="A23" s="56" t="s">
        <v>18</v>
      </c>
      <c r="B23" s="154">
        <f>SUM(B19:B22)</f>
        <v>0</v>
      </c>
      <c r="C23" s="155">
        <f>SUM(C19:C22)</f>
        <v>0</v>
      </c>
      <c r="D23" s="49"/>
      <c r="E23" s="49"/>
    </row>
    <row r="24" spans="1:5" ht="15.95" customHeight="1">
      <c r="A24" s="56" t="s">
        <v>3553</v>
      </c>
      <c r="B24" s="154">
        <f>B16-B23</f>
        <v>0</v>
      </c>
      <c r="C24" s="155">
        <f>C16-C23</f>
        <v>0</v>
      </c>
      <c r="D24" s="49"/>
      <c r="E24" s="49"/>
    </row>
    <row r="25" spans="1:5" ht="15.95" customHeight="1" thickBot="1">
      <c r="A25" s="57" t="s">
        <v>15</v>
      </c>
      <c r="B25" s="156">
        <f>SUM(B19:B24)</f>
        <v>0</v>
      </c>
      <c r="C25" s="157">
        <f>SUM(C19:C24)</f>
        <v>0</v>
      </c>
      <c r="D25" s="49"/>
      <c r="E25" s="49"/>
    </row>
    <row r="26" spans="1:5" ht="15.95" customHeight="1">
      <c r="A26" s="1292"/>
      <c r="B26" s="841"/>
      <c r="C26" s="841"/>
      <c r="D26" s="49"/>
      <c r="E26" s="49"/>
    </row>
    <row r="27" spans="1:5" ht="15.95" customHeight="1" thickBot="1">
      <c r="A27" s="1288" t="s">
        <v>19</v>
      </c>
      <c r="B27" s="857"/>
      <c r="C27" s="857"/>
      <c r="D27" s="49"/>
      <c r="E27" s="49"/>
    </row>
    <row r="28" spans="1:5" ht="15.95" customHeight="1" thickBot="1">
      <c r="A28" s="51" t="s">
        <v>146</v>
      </c>
      <c r="B28" s="59"/>
      <c r="C28" s="60" t="s">
        <v>11</v>
      </c>
    </row>
    <row r="29" spans="1:5" ht="15.95" customHeight="1">
      <c r="A29" s="54" t="s">
        <v>20</v>
      </c>
      <c r="B29" s="61"/>
      <c r="C29" s="160">
        <v>0</v>
      </c>
    </row>
    <row r="30" spans="1:5" ht="15.95" customHeight="1">
      <c r="A30" s="55" t="s">
        <v>21</v>
      </c>
      <c r="B30" s="62"/>
      <c r="C30" s="161">
        <v>0</v>
      </c>
    </row>
    <row r="31" spans="1:5" ht="15.95" customHeight="1">
      <c r="A31" s="55" t="s">
        <v>22</v>
      </c>
      <c r="B31" s="62"/>
      <c r="C31" s="161">
        <v>0</v>
      </c>
    </row>
    <row r="32" spans="1:5" ht="15.95" customHeight="1">
      <c r="A32" s="65" t="s">
        <v>3554</v>
      </c>
      <c r="B32" s="62"/>
      <c r="C32" s="161">
        <v>0</v>
      </c>
    </row>
    <row r="33" spans="1:3" ht="15.95" customHeight="1">
      <c r="A33" s="55" t="s">
        <v>23</v>
      </c>
      <c r="B33" s="62"/>
      <c r="C33" s="161">
        <v>0</v>
      </c>
    </row>
    <row r="34" spans="1:3" ht="15.95" customHeight="1">
      <c r="A34" s="67" t="s">
        <v>24</v>
      </c>
      <c r="B34" s="66"/>
      <c r="C34" s="162">
        <f>+C29+C30+C31+C33</f>
        <v>0</v>
      </c>
    </row>
    <row r="35" spans="1:3" ht="15.95" customHeight="1" thickBot="1">
      <c r="A35" s="57" t="s">
        <v>15</v>
      </c>
      <c r="B35" s="63"/>
      <c r="C35" s="163">
        <f>SUM(C29:C33)</f>
        <v>0</v>
      </c>
    </row>
    <row r="36" spans="1:3" ht="15.95" customHeight="1" thickBot="1">
      <c r="A36" s="58" t="s">
        <v>147</v>
      </c>
      <c r="B36" s="64"/>
      <c r="C36" s="164"/>
    </row>
    <row r="37" spans="1:3" ht="15.95" customHeight="1">
      <c r="A37" s="54" t="s">
        <v>25</v>
      </c>
      <c r="B37" s="61"/>
      <c r="C37" s="160">
        <v>0</v>
      </c>
    </row>
    <row r="38" spans="1:3" ht="15.95" customHeight="1">
      <c r="A38" s="55" t="s">
        <v>26</v>
      </c>
      <c r="B38" s="62"/>
      <c r="C38" s="161">
        <v>0</v>
      </c>
    </row>
    <row r="39" spans="1:3" ht="15.95" customHeight="1">
      <c r="A39" s="55" t="s">
        <v>27</v>
      </c>
      <c r="B39" s="62"/>
      <c r="C39" s="161">
        <v>0</v>
      </c>
    </row>
    <row r="40" spans="1:3" ht="15.95" customHeight="1">
      <c r="A40" s="55" t="s">
        <v>331</v>
      </c>
      <c r="B40" s="62"/>
      <c r="C40" s="161">
        <v>0</v>
      </c>
    </row>
    <row r="41" spans="1:3" ht="15.95" customHeight="1">
      <c r="A41" s="55" t="s">
        <v>28</v>
      </c>
      <c r="B41" s="62"/>
      <c r="C41" s="161">
        <v>0</v>
      </c>
    </row>
    <row r="42" spans="1:3" ht="15.95" customHeight="1">
      <c r="A42" s="55" t="s">
        <v>29</v>
      </c>
      <c r="B42" s="62"/>
      <c r="C42" s="161">
        <v>0</v>
      </c>
    </row>
    <row r="43" spans="1:3" ht="15.95" customHeight="1">
      <c r="A43" s="65" t="s">
        <v>3555</v>
      </c>
      <c r="B43" s="62"/>
      <c r="C43" s="161">
        <v>0</v>
      </c>
    </row>
    <row r="44" spans="1:3" ht="15.95" customHeight="1">
      <c r="A44" s="65" t="s">
        <v>3556</v>
      </c>
      <c r="B44" s="62"/>
      <c r="C44" s="161">
        <v>0</v>
      </c>
    </row>
    <row r="45" spans="1:3" ht="15.95" customHeight="1">
      <c r="A45" s="65" t="s">
        <v>3557</v>
      </c>
      <c r="B45" s="62"/>
      <c r="C45" s="161">
        <v>0</v>
      </c>
    </row>
    <row r="46" spans="1:3" ht="15.95" customHeight="1">
      <c r="A46" s="67" t="s">
        <v>30</v>
      </c>
      <c r="B46" s="66"/>
      <c r="C46" s="162">
        <f>+SUM(C37:C42)</f>
        <v>0</v>
      </c>
    </row>
    <row r="47" spans="1:3" ht="15.95" customHeight="1">
      <c r="A47" s="67" t="s">
        <v>112</v>
      </c>
      <c r="B47" s="66"/>
      <c r="C47" s="162">
        <f>+C34-C46</f>
        <v>0</v>
      </c>
    </row>
    <row r="48" spans="1:3" ht="15.95" customHeight="1" thickBot="1">
      <c r="A48" s="57" t="s">
        <v>15</v>
      </c>
      <c r="B48" s="63"/>
      <c r="C48" s="163">
        <f>SUM(C37:C45)</f>
        <v>0</v>
      </c>
    </row>
    <row r="49" spans="1:3">
      <c r="A49" s="1284" t="str">
        <f>+'DAP1'!A46:L46</f>
        <v>Formulář zpracovala ASPEKT HM, daňová, účetní a auditorská kancelář, www.danovapriznani.cz, business.center.cz</v>
      </c>
      <c r="B49" s="1285"/>
      <c r="C49" s="1285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honeticPr fontId="11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91"/>
  <sheetViews>
    <sheetView topLeftCell="A16" workbookViewId="0">
      <selection activeCell="A31" sqref="A31:K31"/>
    </sheetView>
  </sheetViews>
  <sheetFormatPr defaultColWidth="9.140625" defaultRowHeight="12.75"/>
  <cols>
    <col min="1" max="1" width="3.5703125" style="1" customWidth="1"/>
    <col min="2" max="2" width="15.7109375" style="1" customWidth="1"/>
    <col min="3" max="4" width="8.7109375" style="1" customWidth="1"/>
    <col min="5" max="5" width="10.7109375" style="1" customWidth="1"/>
    <col min="6" max="6" width="7.7109375" style="1" customWidth="1"/>
    <col min="7" max="7" width="8.7109375" style="1" customWidth="1"/>
    <col min="8" max="8" width="9.5703125" style="1" customWidth="1"/>
    <col min="9" max="11" width="8.7109375" style="1" customWidth="1"/>
    <col min="12" max="22" width="9.140625" style="3"/>
    <col min="23" max="23" width="11.42578125" style="3" bestFit="1" customWidth="1"/>
    <col min="24" max="50" width="9.140625" style="3"/>
    <col min="51" max="16384" width="9.140625" style="1"/>
  </cols>
  <sheetData>
    <row r="1" spans="1:50" ht="18" customHeight="1" thickBot="1">
      <c r="A1" s="1382" t="s">
        <v>299</v>
      </c>
      <c r="B1" s="1383"/>
      <c r="C1" s="1383"/>
      <c r="D1" s="1383"/>
      <c r="E1" s="1383"/>
      <c r="F1" s="1383"/>
      <c r="G1" s="1384"/>
      <c r="H1" s="258" t="s">
        <v>37</v>
      </c>
      <c r="I1" s="1369" t="str">
        <f>'DAP1'!A9</f>
        <v/>
      </c>
      <c r="J1" s="1370"/>
      <c r="K1" s="1057"/>
    </row>
    <row r="2" spans="1:50" ht="26.25" customHeight="1">
      <c r="A2" s="1381" t="s">
        <v>3856</v>
      </c>
      <c r="B2" s="1381"/>
      <c r="C2" s="1381"/>
      <c r="D2" s="1381"/>
      <c r="E2" s="1381"/>
      <c r="F2" s="1381"/>
      <c r="G2" s="789"/>
      <c r="H2" s="1365"/>
      <c r="I2" s="1365"/>
      <c r="J2" s="1365"/>
      <c r="K2" s="1365"/>
    </row>
    <row r="3" spans="1:50" ht="36" customHeight="1">
      <c r="A3" s="1372" t="s">
        <v>171</v>
      </c>
      <c r="B3" s="1373"/>
      <c r="C3" s="1373"/>
      <c r="D3" s="1373"/>
      <c r="E3" s="1373"/>
      <c r="F3" s="1373"/>
      <c r="G3" s="1373"/>
      <c r="H3" s="1373"/>
      <c r="I3" s="1373"/>
      <c r="J3" s="1373"/>
      <c r="K3" s="1373"/>
    </row>
    <row r="4" spans="1:50" ht="15.95" customHeight="1">
      <c r="A4" s="1385" t="s">
        <v>3505</v>
      </c>
      <c r="B4" s="789"/>
      <c r="C4" s="789"/>
      <c r="D4" s="789"/>
      <c r="E4" s="789"/>
      <c r="F4" s="789"/>
      <c r="G4" s="789"/>
      <c r="H4" s="789"/>
      <c r="I4" s="789"/>
      <c r="J4" s="789"/>
      <c r="K4" s="789"/>
    </row>
    <row r="5" spans="1:50" ht="15.95" customHeight="1">
      <c r="A5" s="1386" t="s">
        <v>3506</v>
      </c>
      <c r="B5" s="1387"/>
      <c r="C5" s="1387"/>
      <c r="D5" s="1387"/>
      <c r="E5" s="1387"/>
      <c r="F5" s="1387"/>
      <c r="G5" s="1387"/>
      <c r="H5" s="1387"/>
      <c r="I5" s="1387"/>
      <c r="J5" s="1387"/>
      <c r="K5" s="1387"/>
    </row>
    <row r="6" spans="1:50" ht="9.9499999999999993" customHeight="1">
      <c r="A6" s="1388" t="s">
        <v>263</v>
      </c>
      <c r="B6" s="1389"/>
      <c r="C6" s="1389"/>
      <c r="D6" s="1389"/>
      <c r="E6" s="1389"/>
      <c r="F6" s="1389"/>
      <c r="G6" s="1389"/>
      <c r="H6" s="1389"/>
      <c r="I6" s="1389"/>
      <c r="J6" s="1389"/>
      <c r="K6" s="1389"/>
    </row>
    <row r="7" spans="1:50" ht="8.1" customHeight="1" thickBot="1">
      <c r="A7" s="1388"/>
      <c r="B7" s="1389"/>
      <c r="C7" s="1389"/>
      <c r="D7" s="1389"/>
      <c r="E7" s="1389"/>
      <c r="F7" s="1389"/>
      <c r="G7" s="1389"/>
      <c r="H7" s="1389"/>
      <c r="I7" s="1389"/>
      <c r="J7" s="1389"/>
      <c r="K7" s="1389"/>
    </row>
    <row r="8" spans="1:50" s="111" customFormat="1" ht="24" customHeight="1" thickBot="1">
      <c r="A8" s="1368" t="s">
        <v>207</v>
      </c>
      <c r="B8" s="1371"/>
      <c r="C8" s="95"/>
      <c r="D8" s="109"/>
      <c r="E8" s="1368" t="s">
        <v>243</v>
      </c>
      <c r="F8" s="1374"/>
      <c r="G8" s="95" t="s">
        <v>258</v>
      </c>
      <c r="H8" s="109"/>
      <c r="I8" s="1368" t="s">
        <v>304</v>
      </c>
      <c r="J8" s="1054"/>
      <c r="K8" s="95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</row>
    <row r="9" spans="1:50" s="111" customFormat="1" ht="8.1" customHeight="1" thickBot="1">
      <c r="A9" s="1361"/>
      <c r="B9" s="1361"/>
      <c r="C9" s="1361"/>
      <c r="D9" s="1361"/>
      <c r="E9" s="1361"/>
      <c r="F9" s="1361"/>
      <c r="G9" s="1361"/>
      <c r="H9" s="1361"/>
      <c r="I9" s="1361"/>
      <c r="J9" s="1361"/>
      <c r="K9" s="1361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</row>
    <row r="10" spans="1:50" ht="12" customHeight="1">
      <c r="A10" s="1375"/>
      <c r="B10" s="1376"/>
      <c r="C10" s="1376"/>
      <c r="D10" s="1376"/>
      <c r="E10" s="1377"/>
      <c r="F10" s="1378" t="s">
        <v>149</v>
      </c>
      <c r="G10" s="1379"/>
      <c r="H10" s="1380"/>
      <c r="I10" s="1366" t="s">
        <v>157</v>
      </c>
      <c r="J10" s="1367"/>
      <c r="K10" s="992"/>
    </row>
    <row r="11" spans="1:50" ht="18" customHeight="1">
      <c r="A11" s="19">
        <v>101</v>
      </c>
      <c r="B11" s="1024" t="s">
        <v>264</v>
      </c>
      <c r="C11" s="1024"/>
      <c r="D11" s="1024"/>
      <c r="E11" s="1112"/>
      <c r="F11" s="1327">
        <f>+CEILING(ZAV!C34,1)-ZAV!C32</f>
        <v>0</v>
      </c>
      <c r="G11" s="1328"/>
      <c r="H11" s="1329"/>
      <c r="I11" s="1333"/>
      <c r="J11" s="1334"/>
      <c r="K11" s="1335"/>
    </row>
    <row r="12" spans="1:50" ht="18" customHeight="1">
      <c r="A12" s="19">
        <v>102</v>
      </c>
      <c r="B12" s="1024" t="s">
        <v>265</v>
      </c>
      <c r="C12" s="1024"/>
      <c r="D12" s="1024"/>
      <c r="E12" s="1112"/>
      <c r="F12" s="1327">
        <f>+IF(OR(EXACT(K8,"X"),EXACT(K8,"x")),FLOOR(E30*IF(E30&gt;1,'1Př1'!F11,MIN(2000000,'1Př1'!F11)),1),FLOOR(ZAV!C46,1))</f>
        <v>0</v>
      </c>
      <c r="G12" s="1328"/>
      <c r="H12" s="1329"/>
      <c r="I12" s="1333"/>
      <c r="J12" s="1334"/>
      <c r="K12" s="1335"/>
    </row>
    <row r="13" spans="1:50" ht="18" customHeight="1">
      <c r="A13" s="19">
        <v>103</v>
      </c>
      <c r="B13" s="1024" t="s">
        <v>173</v>
      </c>
      <c r="C13" s="1024"/>
      <c r="D13" s="1024"/>
      <c r="E13" s="1112"/>
      <c r="F13" s="1354"/>
      <c r="G13" s="1355"/>
      <c r="H13" s="1356"/>
      <c r="I13" s="1333"/>
      <c r="J13" s="1334"/>
      <c r="K13" s="1335"/>
    </row>
    <row r="14" spans="1:50" ht="24" customHeight="1">
      <c r="A14" s="490">
        <v>104</v>
      </c>
      <c r="B14" s="974" t="s">
        <v>3507</v>
      </c>
      <c r="C14" s="975"/>
      <c r="D14" s="975"/>
      <c r="E14" s="976"/>
      <c r="F14" s="1327">
        <f>+F11-F12</f>
        <v>0</v>
      </c>
      <c r="G14" s="1328"/>
      <c r="H14" s="1329"/>
      <c r="I14" s="1333"/>
      <c r="J14" s="1334"/>
      <c r="K14" s="1335"/>
    </row>
    <row r="15" spans="1:50" ht="45" customHeight="1">
      <c r="A15" s="16">
        <v>105</v>
      </c>
      <c r="B15" s="974" t="s">
        <v>39</v>
      </c>
      <c r="C15" s="974"/>
      <c r="D15" s="974"/>
      <c r="E15" s="1169"/>
      <c r="F15" s="1362">
        <f>+SUM('1Př2'!F20:G23)</f>
        <v>0</v>
      </c>
      <c r="G15" s="1363"/>
      <c r="H15" s="1364"/>
      <c r="I15" s="1333"/>
      <c r="J15" s="1334"/>
      <c r="K15" s="1335"/>
    </row>
    <row r="16" spans="1:50" ht="45" customHeight="1">
      <c r="A16" s="491">
        <v>106</v>
      </c>
      <c r="B16" s="974" t="s">
        <v>38</v>
      </c>
      <c r="C16" s="974"/>
      <c r="D16" s="974"/>
      <c r="E16" s="1169"/>
      <c r="F16" s="1362">
        <f>+SUM('1Př2'!F26:G29)</f>
        <v>0</v>
      </c>
      <c r="G16" s="1363"/>
      <c r="H16" s="1364"/>
      <c r="I16" s="1333"/>
      <c r="J16" s="1334"/>
      <c r="K16" s="1335"/>
    </row>
    <row r="17" spans="1:50" ht="48" customHeight="1">
      <c r="A17" s="16">
        <v>107</v>
      </c>
      <c r="B17" s="974" t="s">
        <v>3511</v>
      </c>
      <c r="C17" s="975"/>
      <c r="D17" s="975"/>
      <c r="E17" s="976"/>
      <c r="F17" s="1327">
        <f>FLOOR(+F11*('1Př2'!G39+'1Př2'!G40),1)</f>
        <v>0</v>
      </c>
      <c r="G17" s="1328"/>
      <c r="H17" s="1329"/>
      <c r="I17" s="1333"/>
      <c r="J17" s="1334"/>
      <c r="K17" s="1335"/>
    </row>
    <row r="18" spans="1:50" s="2" customFormat="1" ht="48" customHeight="1">
      <c r="A18" s="16">
        <v>108</v>
      </c>
      <c r="B18" s="1101" t="s">
        <v>3510</v>
      </c>
      <c r="C18" s="1340"/>
      <c r="D18" s="1340"/>
      <c r="E18" s="1341"/>
      <c r="F18" s="1327">
        <f>FLOOR(+F12*('1Př2'!G39+'1Př2'!G40),1)</f>
        <v>0</v>
      </c>
      <c r="G18" s="1328"/>
      <c r="H18" s="1329"/>
      <c r="I18" s="1333"/>
      <c r="J18" s="1334"/>
      <c r="K18" s="1335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</row>
    <row r="19" spans="1:50" s="2" customFormat="1" ht="48" customHeight="1">
      <c r="A19" s="16">
        <v>109</v>
      </c>
      <c r="B19" s="1101" t="s">
        <v>3508</v>
      </c>
      <c r="C19" s="1340"/>
      <c r="D19" s="1340"/>
      <c r="E19" s="1341"/>
      <c r="F19" s="1327">
        <v>0</v>
      </c>
      <c r="G19" s="1328"/>
      <c r="H19" s="1329"/>
      <c r="I19" s="1333"/>
      <c r="J19" s="1334"/>
      <c r="K19" s="1335"/>
      <c r="L19" s="7"/>
      <c r="M19" s="147" t="str">
        <f>+IF(F19-F20&gt;540000,"CHYBA"," ")</f>
        <v xml:space="preserve"> </v>
      </c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</row>
    <row r="20" spans="1:50" s="2" customFormat="1" ht="48" customHeight="1">
      <c r="A20" s="16">
        <v>110</v>
      </c>
      <c r="B20" s="1101" t="s">
        <v>3509</v>
      </c>
      <c r="C20" s="1340"/>
      <c r="D20" s="1340"/>
      <c r="E20" s="1341"/>
      <c r="F20" s="1327">
        <v>0</v>
      </c>
      <c r="G20" s="1328"/>
      <c r="H20" s="1329"/>
      <c r="I20" s="1333"/>
      <c r="J20" s="1334"/>
      <c r="K20" s="1335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</row>
    <row r="21" spans="1:50" s="2" customFormat="1" ht="18" customHeight="1">
      <c r="A21" s="16">
        <v>111</v>
      </c>
      <c r="B21" s="1024" t="s">
        <v>173</v>
      </c>
      <c r="C21" s="1024"/>
      <c r="D21" s="1024"/>
      <c r="E21" s="1112"/>
      <c r="F21" s="1354"/>
      <c r="G21" s="1355"/>
      <c r="H21" s="1356"/>
      <c r="I21" s="1333"/>
      <c r="J21" s="1334"/>
      <c r="K21" s="1335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</row>
    <row r="22" spans="1:50" s="2" customFormat="1" ht="36" customHeight="1">
      <c r="A22" s="16">
        <v>112</v>
      </c>
      <c r="B22" s="1101" t="s">
        <v>172</v>
      </c>
      <c r="C22" s="1340"/>
      <c r="D22" s="1340"/>
      <c r="E22" s="1341"/>
      <c r="F22" s="1173">
        <v>0</v>
      </c>
      <c r="G22" s="1328"/>
      <c r="H22" s="1329"/>
      <c r="I22" s="1336"/>
      <c r="J22" s="1334"/>
      <c r="K22" s="1335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</row>
    <row r="23" spans="1:50" s="2" customFormat="1" ht="24" customHeight="1" thickBot="1">
      <c r="A23" s="17">
        <v>113</v>
      </c>
      <c r="B23" s="1116" t="s">
        <v>3857</v>
      </c>
      <c r="C23" s="1342"/>
      <c r="D23" s="1342"/>
      <c r="E23" s="1343"/>
      <c r="F23" s="1118">
        <f>+F14+F15-F16-F17+F18+F19-F20-F21+F22</f>
        <v>0</v>
      </c>
      <c r="G23" s="1357"/>
      <c r="H23" s="1358"/>
      <c r="I23" s="1337"/>
      <c r="J23" s="1338"/>
      <c r="K23" s="1339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</row>
    <row r="24" spans="1:50" s="2" customFormat="1" ht="18" customHeight="1">
      <c r="A24" s="1348" t="s">
        <v>266</v>
      </c>
      <c r="B24" s="1349"/>
      <c r="C24" s="1349"/>
      <c r="D24" s="1349"/>
      <c r="E24" s="1349"/>
      <c r="F24" s="1349"/>
      <c r="G24" s="1349"/>
      <c r="H24" s="1349"/>
      <c r="I24" s="1349"/>
      <c r="J24" s="1349"/>
      <c r="K24" s="1349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</row>
    <row r="25" spans="1:50" s="2" customFormat="1" ht="12.75" customHeight="1">
      <c r="A25" s="1318" t="s">
        <v>305</v>
      </c>
      <c r="B25" s="1350"/>
      <c r="C25" s="1350"/>
      <c r="D25" s="1350"/>
      <c r="E25" s="1350"/>
      <c r="F25" s="1350"/>
      <c r="G25" s="1350"/>
      <c r="H25" s="1350"/>
      <c r="I25" s="1350"/>
      <c r="J25" s="1350"/>
      <c r="K25" s="1350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</row>
    <row r="26" spans="1:50" s="2" customFormat="1" ht="12" customHeight="1" thickBot="1">
      <c r="A26" s="1351" t="s">
        <v>245</v>
      </c>
      <c r="B26" s="1229"/>
      <c r="C26" s="1352"/>
      <c r="D26" s="1352"/>
      <c r="E26" s="1351" t="s">
        <v>153</v>
      </c>
      <c r="F26" s="1353"/>
      <c r="G26" s="1352"/>
      <c r="H26" s="1352"/>
      <c r="I26" s="1322" t="s">
        <v>79</v>
      </c>
      <c r="J26" s="1322"/>
      <c r="K26" s="1323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</row>
    <row r="27" spans="1:50" s="2" customFormat="1" ht="18" customHeight="1" thickBot="1">
      <c r="A27" s="1344">
        <v>0</v>
      </c>
      <c r="B27" s="1347"/>
      <c r="C27" s="1346"/>
      <c r="D27" s="145"/>
      <c r="E27" s="1344">
        <f>+CEILING(ZAV!C43,1)</f>
        <v>0</v>
      </c>
      <c r="F27" s="1345"/>
      <c r="G27" s="1346"/>
      <c r="H27" s="145"/>
      <c r="I27" s="1344">
        <v>0</v>
      </c>
      <c r="J27" s="1359"/>
      <c r="K27" s="1360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</row>
    <row r="28" spans="1:50" s="2" customFormat="1" ht="12" customHeight="1">
      <c r="A28" s="1318" t="s">
        <v>280</v>
      </c>
      <c r="B28" s="1319"/>
      <c r="C28" s="1319"/>
      <c r="D28" s="1319"/>
      <c r="E28" s="1320" t="s">
        <v>281</v>
      </c>
      <c r="F28" s="1318"/>
      <c r="G28" s="826"/>
      <c r="H28" s="826"/>
      <c r="I28" s="826"/>
      <c r="J28" s="826"/>
      <c r="K28" s="826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</row>
    <row r="29" spans="1:50" s="2" customFormat="1" ht="12" customHeight="1" thickBot="1">
      <c r="A29" s="1322" t="s">
        <v>3512</v>
      </c>
      <c r="B29" s="1323"/>
      <c r="C29" s="1323"/>
      <c r="D29" s="1323"/>
      <c r="E29" s="1321"/>
      <c r="F29" s="1303" t="s">
        <v>146</v>
      </c>
      <c r="G29" s="1303"/>
      <c r="H29" s="1303" t="s">
        <v>147</v>
      </c>
      <c r="I29" s="1303"/>
      <c r="J29" s="1303" t="s">
        <v>175</v>
      </c>
      <c r="K29" s="1303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</row>
    <row r="30" spans="1:50" s="2" customFormat="1" ht="36" customHeight="1" thickBot="1">
      <c r="A30" s="1324" t="str">
        <f>CONCATENATE(+ZAKL_DATA!B29)</f>
        <v/>
      </c>
      <c r="B30" s="1325"/>
      <c r="C30" s="1325"/>
      <c r="D30" s="1326"/>
      <c r="E30" s="375">
        <v>0</v>
      </c>
      <c r="F30" s="1310">
        <f>+IF(E30=0,0,F11)</f>
        <v>0</v>
      </c>
      <c r="G30" s="1311"/>
      <c r="H30" s="1310">
        <f>+IF(E30=0,0,+F12+F13)</f>
        <v>0</v>
      </c>
      <c r="I30" s="1311"/>
      <c r="J30" s="1314"/>
      <c r="K30" s="1315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</row>
    <row r="31" spans="1:50" s="2" customFormat="1" ht="12" customHeight="1" thickBot="1">
      <c r="A31" s="1306" t="s">
        <v>282</v>
      </c>
      <c r="B31" s="1307"/>
      <c r="C31" s="1307"/>
      <c r="D31" s="1307"/>
      <c r="E31" s="1307"/>
      <c r="F31" s="1307"/>
      <c r="G31" s="1307"/>
      <c r="H31" s="1307"/>
      <c r="I31" s="1307"/>
      <c r="J31" s="1307"/>
      <c r="K31" s="130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</row>
    <row r="32" spans="1:50" s="2" customFormat="1" ht="18" customHeight="1">
      <c r="A32" s="1316"/>
      <c r="B32" s="1317"/>
      <c r="C32" s="1317"/>
      <c r="D32" s="1317"/>
      <c r="E32" s="374">
        <v>0</v>
      </c>
      <c r="F32" s="1312">
        <v>0</v>
      </c>
      <c r="G32" s="1313"/>
      <c r="H32" s="1312">
        <v>0</v>
      </c>
      <c r="I32" s="1313"/>
      <c r="J32" s="1308"/>
      <c r="K32" s="1309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</row>
    <row r="33" spans="1:50" s="2" customFormat="1" ht="18" customHeight="1">
      <c r="A33" s="1304"/>
      <c r="B33" s="1305"/>
      <c r="C33" s="1305"/>
      <c r="D33" s="1305"/>
      <c r="E33" s="372">
        <v>0</v>
      </c>
      <c r="F33" s="1301">
        <v>0</v>
      </c>
      <c r="G33" s="1302"/>
      <c r="H33" s="1301">
        <v>0</v>
      </c>
      <c r="I33" s="1302"/>
      <c r="J33" s="1295"/>
      <c r="K33" s="1296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</row>
    <row r="34" spans="1:50" s="2" customFormat="1" ht="18" customHeight="1">
      <c r="A34" s="1304"/>
      <c r="B34" s="1305"/>
      <c r="C34" s="1305"/>
      <c r="D34" s="1305"/>
      <c r="E34" s="372">
        <v>0</v>
      </c>
      <c r="F34" s="1301">
        <v>0</v>
      </c>
      <c r="G34" s="1302"/>
      <c r="H34" s="1301">
        <v>0</v>
      </c>
      <c r="I34" s="1302"/>
      <c r="J34" s="1295"/>
      <c r="K34" s="1296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</row>
    <row r="35" spans="1:50" s="2" customFormat="1" ht="18" customHeight="1" thickBot="1">
      <c r="A35" s="1293" t="s">
        <v>59</v>
      </c>
      <c r="B35" s="1294"/>
      <c r="C35" s="1294"/>
      <c r="D35" s="1294"/>
      <c r="E35" s="373"/>
      <c r="F35" s="1299">
        <f>SUM(F32:F34)+F30</f>
        <v>0</v>
      </c>
      <c r="G35" s="1300"/>
      <c r="H35" s="1299">
        <f>SUM(H32:H34)+H30</f>
        <v>0</v>
      </c>
      <c r="I35" s="1300"/>
      <c r="J35" s="1297"/>
      <c r="K35" s="1298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</row>
    <row r="36" spans="1:50" s="2" customFormat="1" ht="13.5" customHeight="1">
      <c r="A36" s="1331" t="str">
        <f>+'DAP1'!A46</f>
        <v>Formulář zpracovala ASPEKT HM, daňová, účetní a auditorská kancelář, www.danovapriznani.cz, business.center.cz</v>
      </c>
      <c r="B36" s="1331"/>
      <c r="C36" s="1331"/>
      <c r="D36" s="1331"/>
      <c r="E36" s="1331"/>
      <c r="F36" s="1331"/>
      <c r="G36" s="1331"/>
      <c r="H36" s="1331"/>
      <c r="I36" s="1331"/>
      <c r="J36" s="1331"/>
      <c r="K36" s="1331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</row>
    <row r="37" spans="1:50" s="2" customFormat="1" ht="9" customHeight="1">
      <c r="A37" s="1332" t="s">
        <v>3858</v>
      </c>
      <c r="B37" s="1332"/>
      <c r="C37" s="1332"/>
      <c r="D37" s="1332"/>
      <c r="E37" s="1332"/>
      <c r="F37" s="1332"/>
      <c r="G37" s="1332"/>
      <c r="H37" s="1332"/>
      <c r="I37" s="1332"/>
      <c r="J37" s="1332"/>
      <c r="K37" s="1332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</row>
    <row r="38" spans="1:50" ht="13.5" customHeight="1">
      <c r="A38" s="1330" t="s">
        <v>300</v>
      </c>
      <c r="B38" s="1330"/>
      <c r="C38" s="1330"/>
      <c r="D38" s="1330"/>
      <c r="E38" s="1330"/>
      <c r="F38" s="1330"/>
      <c r="G38" s="1330"/>
      <c r="H38" s="1330"/>
      <c r="I38" s="1330"/>
      <c r="J38" s="1330"/>
      <c r="K38" s="1330"/>
    </row>
    <row r="39" spans="1:50" s="3" customFormat="1"/>
    <row r="40" spans="1:50" s="3" customFormat="1"/>
    <row r="41" spans="1:50" s="3" customFormat="1"/>
    <row r="42" spans="1:50" s="3" customFormat="1"/>
    <row r="43" spans="1:50" s="3" customFormat="1"/>
    <row r="44" spans="1:50" s="3" customFormat="1"/>
    <row r="45" spans="1:50" s="3" customFormat="1"/>
    <row r="46" spans="1:50" s="3" customFormat="1"/>
    <row r="47" spans="1:50" s="3" customFormat="1"/>
    <row r="48" spans="1:50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  <row r="77" s="3" customFormat="1"/>
    <row r="78" s="3" customFormat="1"/>
    <row r="79" s="3" customFormat="1"/>
    <row r="80" s="3" customFormat="1"/>
    <row r="81" s="3" customFormat="1"/>
    <row r="82" s="3" customFormat="1"/>
    <row r="83" s="3" customFormat="1"/>
    <row r="84" s="3" customFormat="1"/>
    <row r="85" s="3" customFormat="1"/>
    <row r="86" s="3" customForma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4" s="3" customFormat="1"/>
    <row r="95" s="3" customFormat="1"/>
    <row r="96" s="3" customFormat="1"/>
    <row r="97" s="3" customFormat="1"/>
    <row r="98" s="3" customFormat="1"/>
    <row r="99" s="3" customFormat="1"/>
    <row r="100" s="3" customFormat="1"/>
    <row r="101" s="3" customFormat="1"/>
    <row r="102" s="3" customFormat="1"/>
    <row r="103" s="3" customFormat="1"/>
    <row r="104" s="3" customFormat="1"/>
    <row r="105" s="3" customFormat="1"/>
    <row r="106" s="3" customFormat="1"/>
    <row r="107" s="3" customFormat="1"/>
    <row r="108" s="3" customFormat="1"/>
    <row r="109" s="3" customFormat="1"/>
    <row r="110" s="3" customFormat="1"/>
    <row r="111" s="3" customFormat="1"/>
    <row r="112" s="3" customFormat="1"/>
    <row r="113" s="3" customFormat="1"/>
    <row r="114" s="3" customFormat="1"/>
    <row r="115" s="3" customFormat="1"/>
    <row r="116" s="3" customFormat="1"/>
    <row r="117" s="3" customFormat="1"/>
    <row r="118" s="3" customFormat="1"/>
    <row r="119" s="3" customFormat="1"/>
    <row r="120" s="3" customFormat="1"/>
    <row r="121" s="3" customFormat="1"/>
    <row r="122" s="3" customFormat="1"/>
    <row r="123" s="3" customFormat="1"/>
    <row r="124" s="3" customFormat="1"/>
    <row r="125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</sheetData>
  <sheetProtection algorithmName="SHA-512" hashValue="apaPgJpY3EfjHY7w3VUYnhmV8jMPJn/DtNSHPDCU3PZCjdX/PuF5OEnJ/3MzK7NEUjlQ1oxoYrsANHO4jzOgog==" saltValue="f/GBajQPFgQV3yeG/7zeeg==" spinCount="100000" sheet="1" objects="1" scenarios="1"/>
  <mergeCells count="94">
    <mergeCell ref="B17:E17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A7:K7"/>
    <mergeCell ref="A6:K6"/>
    <mergeCell ref="H2:K2"/>
    <mergeCell ref="I16:K16"/>
    <mergeCell ref="F11:H11"/>
    <mergeCell ref="I13:K13"/>
    <mergeCell ref="I10:K10"/>
    <mergeCell ref="I11:K11"/>
    <mergeCell ref="I12:K12"/>
    <mergeCell ref="F14:H14"/>
    <mergeCell ref="I8:J8"/>
    <mergeCell ref="I14:K14"/>
    <mergeCell ref="F16:H16"/>
    <mergeCell ref="B13:E13"/>
    <mergeCell ref="B14:E14"/>
    <mergeCell ref="B15:E15"/>
    <mergeCell ref="A9:K9"/>
    <mergeCell ref="F13:H13"/>
    <mergeCell ref="I15:K15"/>
    <mergeCell ref="F15:H15"/>
    <mergeCell ref="A27:C27"/>
    <mergeCell ref="A24:K24"/>
    <mergeCell ref="A25:K25"/>
    <mergeCell ref="F18:H18"/>
    <mergeCell ref="F19:H19"/>
    <mergeCell ref="A26:D26"/>
    <mergeCell ref="E26:H26"/>
    <mergeCell ref="B18:E18"/>
    <mergeCell ref="I20:K20"/>
    <mergeCell ref="F21:H21"/>
    <mergeCell ref="F23:H23"/>
    <mergeCell ref="I27:K27"/>
    <mergeCell ref="I18:K18"/>
    <mergeCell ref="I19:K19"/>
    <mergeCell ref="F22:H22"/>
    <mergeCell ref="F17:H17"/>
    <mergeCell ref="A38:K38"/>
    <mergeCell ref="A36:K36"/>
    <mergeCell ref="A37:K37"/>
    <mergeCell ref="I21:K21"/>
    <mergeCell ref="I22:K22"/>
    <mergeCell ref="I23:K23"/>
    <mergeCell ref="I17:K17"/>
    <mergeCell ref="B19:E19"/>
    <mergeCell ref="B20:E20"/>
    <mergeCell ref="I26:K26"/>
    <mergeCell ref="B21:E21"/>
    <mergeCell ref="B22:E22"/>
    <mergeCell ref="B23:E23"/>
    <mergeCell ref="F20:H20"/>
    <mergeCell ref="E27:G27"/>
    <mergeCell ref="B16:E16"/>
    <mergeCell ref="A31:K31"/>
    <mergeCell ref="J32:K32"/>
    <mergeCell ref="H30:I30"/>
    <mergeCell ref="F30:G30"/>
    <mergeCell ref="F32:G32"/>
    <mergeCell ref="H32:I32"/>
    <mergeCell ref="J30:K30"/>
    <mergeCell ref="A32:D32"/>
    <mergeCell ref="A28:D28"/>
    <mergeCell ref="E28:E29"/>
    <mergeCell ref="F28:K28"/>
    <mergeCell ref="A29:D29"/>
    <mergeCell ref="A30:D30"/>
    <mergeCell ref="F29:G29"/>
    <mergeCell ref="H29:I29"/>
    <mergeCell ref="J29:K29"/>
    <mergeCell ref="A33:D33"/>
    <mergeCell ref="A34:D34"/>
    <mergeCell ref="F33:G33"/>
    <mergeCell ref="H33:I33"/>
    <mergeCell ref="J33:K33"/>
    <mergeCell ref="A35:D35"/>
    <mergeCell ref="J34:K34"/>
    <mergeCell ref="J35:K35"/>
    <mergeCell ref="F35:G35"/>
    <mergeCell ref="H35:I35"/>
    <mergeCell ref="F34:G34"/>
    <mergeCell ref="H34:I34"/>
  </mergeCells>
  <phoneticPr fontId="11" type="noConversion"/>
  <dataValidations count="1">
    <dataValidation type="list" allowBlank="1" showInputMessage="1" sqref="A32:A34" xr:uid="{00000000-0002-0000-0A00-000000000000}">
      <formula1>vl_cinnosti2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201"/>
  <sheetViews>
    <sheetView workbookViewId="0">
      <selection activeCell="B20" sqref="B20:E20"/>
    </sheetView>
  </sheetViews>
  <sheetFormatPr defaultRowHeight="12.75"/>
  <cols>
    <col min="1" max="1" width="3.28515625" customWidth="1"/>
    <col min="2" max="2" width="17.7109375" customWidth="1"/>
    <col min="3" max="3" width="8.85546875" customWidth="1"/>
    <col min="4" max="4" width="14.7109375" customWidth="1"/>
    <col min="5" max="7" width="17.7109375" customWidth="1"/>
    <col min="8" max="52" width="9.140625" style="78"/>
  </cols>
  <sheetData>
    <row r="1" spans="1:52" ht="18" customHeight="1">
      <c r="A1" s="1318" t="s">
        <v>3513</v>
      </c>
      <c r="B1" s="1405"/>
      <c r="C1" s="1405"/>
      <c r="D1" s="1405"/>
      <c r="E1" s="1405"/>
      <c r="F1" s="1405"/>
      <c r="G1" s="1405"/>
    </row>
    <row r="2" spans="1:52" ht="15.95" customHeight="1" thickBot="1">
      <c r="A2" s="1406" t="s">
        <v>40</v>
      </c>
      <c r="B2" s="857"/>
      <c r="C2" s="140" t="s">
        <v>296</v>
      </c>
      <c r="D2" s="140"/>
      <c r="E2" s="140" t="s">
        <v>297</v>
      </c>
      <c r="F2" s="139" t="s">
        <v>298</v>
      </c>
      <c r="G2" s="139" t="s">
        <v>61</v>
      </c>
      <c r="AY2"/>
      <c r="AZ2"/>
    </row>
    <row r="3" spans="1:52" ht="15.95" customHeight="1" thickBot="1">
      <c r="A3" s="1396"/>
      <c r="B3" s="1397"/>
      <c r="C3" s="1394"/>
      <c r="D3" s="1395"/>
      <c r="E3" s="138"/>
      <c r="F3" s="143"/>
      <c r="G3" s="144">
        <v>12</v>
      </c>
      <c r="AY3"/>
      <c r="AZ3"/>
    </row>
    <row r="4" spans="1:52" ht="18" customHeight="1">
      <c r="A4" s="1409" t="s">
        <v>3631</v>
      </c>
      <c r="B4" s="1410"/>
      <c r="C4" s="1410"/>
      <c r="D4" s="1410"/>
      <c r="E4" s="1410"/>
      <c r="F4" s="1410"/>
      <c r="G4" s="1410"/>
    </row>
    <row r="5" spans="1:52" ht="15.95" customHeight="1" thickBot="1">
      <c r="A5" s="1417" t="s">
        <v>3632</v>
      </c>
      <c r="B5" s="1418"/>
      <c r="C5" s="1418"/>
      <c r="D5" s="1418"/>
      <c r="E5" s="1418"/>
      <c r="F5" s="1418"/>
      <c r="G5" s="1418"/>
    </row>
    <row r="6" spans="1:52" ht="22.5">
      <c r="A6" s="1415"/>
      <c r="B6" s="1005"/>
      <c r="C6" s="1005"/>
      <c r="D6" s="1005"/>
      <c r="E6" s="1416"/>
      <c r="F6" s="81" t="s">
        <v>307</v>
      </c>
      <c r="G6" s="82" t="s">
        <v>306</v>
      </c>
    </row>
    <row r="7" spans="1:52" ht="15.95" customHeight="1">
      <c r="A7" s="45" t="s">
        <v>136</v>
      </c>
      <c r="B7" s="1390" t="s">
        <v>107</v>
      </c>
      <c r="C7" s="1390"/>
      <c r="D7" s="1390"/>
      <c r="E7" s="1030"/>
      <c r="F7" s="68">
        <f>+ZAV!B7</f>
        <v>0</v>
      </c>
      <c r="G7" s="80">
        <f>+ZAV!C7</f>
        <v>0</v>
      </c>
    </row>
    <row r="8" spans="1:52" ht="15.95" customHeight="1">
      <c r="A8" s="45" t="s">
        <v>137</v>
      </c>
      <c r="B8" s="1390" t="s">
        <v>285</v>
      </c>
      <c r="C8" s="1390"/>
      <c r="D8" s="1390"/>
      <c r="E8" s="1030"/>
      <c r="F8" s="68">
        <f>+ZAV!B9</f>
        <v>0</v>
      </c>
      <c r="G8" s="80">
        <f>+ZAV!C9</f>
        <v>0</v>
      </c>
    </row>
    <row r="9" spans="1:52" ht="15.95" customHeight="1">
      <c r="A9" s="45" t="s">
        <v>138</v>
      </c>
      <c r="B9" s="1390" t="s">
        <v>250</v>
      </c>
      <c r="C9" s="1390"/>
      <c r="D9" s="1390"/>
      <c r="E9" s="1030"/>
      <c r="F9" s="68">
        <f>+ZAV!B10</f>
        <v>0</v>
      </c>
      <c r="G9" s="80">
        <f>+ZAV!C10</f>
        <v>0</v>
      </c>
    </row>
    <row r="10" spans="1:52" ht="15.95" customHeight="1">
      <c r="A10" s="45" t="s">
        <v>317</v>
      </c>
      <c r="B10" s="1390" t="s">
        <v>143</v>
      </c>
      <c r="C10" s="1390"/>
      <c r="D10" s="1390"/>
      <c r="E10" s="1030"/>
      <c r="F10" s="68">
        <f>+ZAV!B12</f>
        <v>0</v>
      </c>
      <c r="G10" s="80">
        <f>+ZAV!C12</f>
        <v>0</v>
      </c>
    </row>
    <row r="11" spans="1:52" ht="15.95" customHeight="1">
      <c r="A11" s="45" t="s">
        <v>103</v>
      </c>
      <c r="B11" s="1390" t="s">
        <v>3514</v>
      </c>
      <c r="C11" s="1390"/>
      <c r="D11" s="1390"/>
      <c r="E11" s="1030"/>
      <c r="F11" s="68">
        <f>+ZAV!B13+ZAV!B14</f>
        <v>0</v>
      </c>
      <c r="G11" s="80">
        <f>+ZAV!C13+ZAV!C14</f>
        <v>0</v>
      </c>
    </row>
    <row r="12" spans="1:52" ht="15.95" customHeight="1">
      <c r="A12" s="45" t="s">
        <v>316</v>
      </c>
      <c r="B12" s="1390" t="s">
        <v>251</v>
      </c>
      <c r="C12" s="1390"/>
      <c r="D12" s="1390"/>
      <c r="E12" s="1030"/>
      <c r="F12" s="68">
        <f>+ZAV!B15+ZAV!B11+ZAV!B8</f>
        <v>0</v>
      </c>
      <c r="G12" s="80">
        <f>+ZAV!C15+ZAV!C11+ZAV!C8</f>
        <v>0</v>
      </c>
    </row>
    <row r="13" spans="1:52" ht="15.95" customHeight="1">
      <c r="A13" s="45" t="s">
        <v>315</v>
      </c>
      <c r="B13" s="1390" t="s">
        <v>3515</v>
      </c>
      <c r="C13" s="1390"/>
      <c r="D13" s="1390"/>
      <c r="E13" s="1030"/>
      <c r="F13" s="68">
        <f>+ZAV!B19+ZAV!B20</f>
        <v>0</v>
      </c>
      <c r="G13" s="80">
        <f>+ZAV!C19+ZAV!C20</f>
        <v>0</v>
      </c>
    </row>
    <row r="14" spans="1:52" ht="15.95" customHeight="1" thickBot="1">
      <c r="A14" s="46" t="s">
        <v>314</v>
      </c>
      <c r="B14" s="1414" t="s">
        <v>312</v>
      </c>
      <c r="C14" s="1414"/>
      <c r="D14" s="1414"/>
      <c r="E14" s="1046"/>
      <c r="F14" s="69">
        <f>+ZAV!B22</f>
        <v>0</v>
      </c>
      <c r="G14" s="96">
        <f>+ZAV!C22</f>
        <v>0</v>
      </c>
    </row>
    <row r="15" spans="1:52" ht="9" customHeight="1" thickBot="1">
      <c r="A15" s="1409"/>
      <c r="B15" s="1410"/>
      <c r="C15" s="1410"/>
      <c r="D15" s="1410"/>
      <c r="E15" s="1410"/>
      <c r="F15" s="1410"/>
      <c r="G15" s="1410"/>
    </row>
    <row r="16" spans="1:52" ht="15.95" customHeight="1" thickBot="1">
      <c r="A16" s="83" t="s">
        <v>313</v>
      </c>
      <c r="B16" s="112" t="s">
        <v>27</v>
      </c>
      <c r="C16" s="1411"/>
      <c r="D16" s="1412"/>
      <c r="E16" s="1413"/>
      <c r="F16" s="1410"/>
      <c r="G16" s="1410"/>
    </row>
    <row r="17" spans="1:7" ht="15" customHeight="1">
      <c r="A17" s="1407" t="s">
        <v>252</v>
      </c>
      <c r="B17" s="1408"/>
      <c r="C17" s="1408"/>
      <c r="D17" s="1408"/>
      <c r="E17" s="1408"/>
      <c r="F17" s="1408"/>
      <c r="G17" s="1408"/>
    </row>
    <row r="18" spans="1:7" ht="18" customHeight="1" thickBot="1">
      <c r="A18" s="1398" t="s">
        <v>225</v>
      </c>
      <c r="B18" s="1399"/>
      <c r="C18" s="1399"/>
      <c r="D18" s="1399"/>
      <c r="E18" s="1399"/>
      <c r="F18" s="1399"/>
      <c r="G18" s="1399"/>
    </row>
    <row r="19" spans="1:7" ht="24" customHeight="1">
      <c r="A19" s="86" t="s">
        <v>3516</v>
      </c>
      <c r="B19" s="1400" t="s">
        <v>62</v>
      </c>
      <c r="C19" s="1401"/>
      <c r="D19" s="1401"/>
      <c r="E19" s="1402"/>
      <c r="F19" s="1403" t="s">
        <v>198</v>
      </c>
      <c r="G19" s="1404"/>
    </row>
    <row r="20" spans="1:7" ht="15.95" customHeight="1">
      <c r="A20" s="43" t="s">
        <v>136</v>
      </c>
      <c r="B20" s="1391"/>
      <c r="C20" s="1391"/>
      <c r="D20" s="1391"/>
      <c r="E20" s="1391"/>
      <c r="F20" s="1392"/>
      <c r="G20" s="1393"/>
    </row>
    <row r="21" spans="1:7" ht="15.95" customHeight="1">
      <c r="A21" s="43" t="s">
        <v>137</v>
      </c>
      <c r="B21" s="1391"/>
      <c r="C21" s="1391"/>
      <c r="D21" s="1391"/>
      <c r="E21" s="1391"/>
      <c r="F21" s="1392"/>
      <c r="G21" s="1393"/>
    </row>
    <row r="22" spans="1:7" ht="15.95" customHeight="1">
      <c r="A22" s="43" t="s">
        <v>138</v>
      </c>
      <c r="B22" s="1391"/>
      <c r="C22" s="1391"/>
      <c r="D22" s="1391"/>
      <c r="E22" s="1391"/>
      <c r="F22" s="1392"/>
      <c r="G22" s="1393"/>
    </row>
    <row r="23" spans="1:7" ht="15.95" customHeight="1" thickBot="1">
      <c r="A23" s="44" t="s">
        <v>317</v>
      </c>
      <c r="B23" s="1419"/>
      <c r="C23" s="1419"/>
      <c r="D23" s="1419"/>
      <c r="E23" s="1419"/>
      <c r="F23" s="1420"/>
      <c r="G23" s="1421"/>
    </row>
    <row r="24" spans="1:7" ht="13.5" thickBot="1">
      <c r="A24" s="1398"/>
      <c r="B24" s="1399"/>
      <c r="C24" s="1399"/>
      <c r="D24" s="1399"/>
      <c r="E24" s="1399"/>
      <c r="F24" s="1399"/>
      <c r="G24" s="1399"/>
    </row>
    <row r="25" spans="1:7" ht="24.75" customHeight="1">
      <c r="A25" s="86" t="s">
        <v>199</v>
      </c>
      <c r="B25" s="1400" t="s">
        <v>63</v>
      </c>
      <c r="C25" s="1401"/>
      <c r="D25" s="1401"/>
      <c r="E25" s="1402"/>
      <c r="F25" s="1403" t="s">
        <v>198</v>
      </c>
      <c r="G25" s="1404"/>
    </row>
    <row r="26" spans="1:7" ht="15.95" customHeight="1">
      <c r="A26" s="43" t="s">
        <v>136</v>
      </c>
      <c r="B26" s="1391"/>
      <c r="C26" s="1391"/>
      <c r="D26" s="1391"/>
      <c r="E26" s="1391"/>
      <c r="F26" s="1392"/>
      <c r="G26" s="1393"/>
    </row>
    <row r="27" spans="1:7" ht="15.95" customHeight="1">
      <c r="A27" s="43" t="s">
        <v>137</v>
      </c>
      <c r="B27" s="1391"/>
      <c r="C27" s="1391"/>
      <c r="D27" s="1391"/>
      <c r="E27" s="1391"/>
      <c r="F27" s="1392"/>
      <c r="G27" s="1393"/>
    </row>
    <row r="28" spans="1:7" ht="15.95" customHeight="1">
      <c r="A28" s="43" t="s">
        <v>138</v>
      </c>
      <c r="B28" s="1391"/>
      <c r="C28" s="1391"/>
      <c r="D28" s="1391"/>
      <c r="E28" s="1391"/>
      <c r="F28" s="1392"/>
      <c r="G28" s="1393"/>
    </row>
    <row r="29" spans="1:7" ht="15.95" customHeight="1" thickBot="1">
      <c r="A29" s="44" t="s">
        <v>317</v>
      </c>
      <c r="B29" s="1419"/>
      <c r="C29" s="1419"/>
      <c r="D29" s="1419"/>
      <c r="E29" s="1419"/>
      <c r="F29" s="1420"/>
      <c r="G29" s="1421"/>
    </row>
    <row r="30" spans="1:7" ht="18" customHeight="1" thickBot="1">
      <c r="A30" s="1398" t="s">
        <v>80</v>
      </c>
      <c r="B30" s="1399"/>
      <c r="C30" s="1399"/>
      <c r="D30" s="1399"/>
      <c r="E30" s="1399"/>
      <c r="F30" s="1399"/>
      <c r="G30" s="1399"/>
    </row>
    <row r="31" spans="1:7" ht="15.95" customHeight="1">
      <c r="A31" s="1427" t="s">
        <v>81</v>
      </c>
      <c r="B31" s="1428"/>
      <c r="C31" s="1428"/>
      <c r="D31" s="1428"/>
      <c r="E31" s="1428"/>
      <c r="F31" s="1428"/>
      <c r="G31" s="1429"/>
    </row>
    <row r="32" spans="1:7" ht="15.95" customHeight="1">
      <c r="A32" s="92"/>
      <c r="B32" s="28" t="s">
        <v>41</v>
      </c>
      <c r="C32" s="1423" t="s">
        <v>98</v>
      </c>
      <c r="D32" s="1423"/>
      <c r="E32" s="28" t="s">
        <v>150</v>
      </c>
      <c r="F32" s="28" t="s">
        <v>99</v>
      </c>
      <c r="G32" s="29" t="s">
        <v>100</v>
      </c>
    </row>
    <row r="33" spans="1:52" ht="15.95" customHeight="1">
      <c r="A33" s="30" t="s">
        <v>136</v>
      </c>
      <c r="B33" s="98"/>
      <c r="C33" s="1422"/>
      <c r="D33" s="1422"/>
      <c r="E33" s="32"/>
      <c r="F33" s="35"/>
      <c r="G33" s="34"/>
    </row>
    <row r="34" spans="1:52" ht="15.95" customHeight="1">
      <c r="A34" s="30" t="s">
        <v>137</v>
      </c>
      <c r="B34" s="33"/>
      <c r="C34" s="1422"/>
      <c r="D34" s="1422"/>
      <c r="E34" s="99"/>
      <c r="F34" s="100"/>
      <c r="G34" s="101"/>
    </row>
    <row r="35" spans="1:52" ht="15.95" customHeight="1" thickBot="1">
      <c r="A35" s="31" t="s">
        <v>138</v>
      </c>
      <c r="B35" s="102"/>
      <c r="C35" s="1426"/>
      <c r="D35" s="1426"/>
      <c r="E35" s="102"/>
      <c r="F35" s="36"/>
      <c r="G35" s="37"/>
    </row>
    <row r="36" spans="1:52" ht="18" customHeight="1" thickBot="1">
      <c r="A36" s="1430" t="s">
        <v>286</v>
      </c>
      <c r="B36" s="1431"/>
      <c r="C36" s="1431"/>
      <c r="D36" s="1431"/>
      <c r="E36" s="1431"/>
      <c r="F36" s="1431"/>
      <c r="G36" s="1431"/>
    </row>
    <row r="37" spans="1:52" ht="15.95" customHeight="1">
      <c r="A37" s="1432" t="s">
        <v>82</v>
      </c>
      <c r="B37" s="1433"/>
      <c r="C37" s="1433"/>
      <c r="D37" s="1433"/>
      <c r="E37" s="1433"/>
      <c r="F37" s="1433"/>
      <c r="G37" s="1434"/>
    </row>
    <row r="38" spans="1:52" ht="24" customHeight="1">
      <c r="A38" s="93"/>
      <c r="B38" s="1435" t="s">
        <v>41</v>
      </c>
      <c r="C38" s="1436"/>
      <c r="D38" s="1435" t="s">
        <v>98</v>
      </c>
      <c r="E38" s="1436"/>
      <c r="F38" s="38" t="s">
        <v>248</v>
      </c>
      <c r="G38" s="39" t="s">
        <v>318</v>
      </c>
    </row>
    <row r="39" spans="1:52" ht="15.95" customHeight="1">
      <c r="A39" s="30" t="s">
        <v>136</v>
      </c>
      <c r="B39" s="1445"/>
      <c r="C39" s="1446"/>
      <c r="D39" s="1445"/>
      <c r="E39" s="1446"/>
      <c r="F39" s="9"/>
      <c r="G39" s="34"/>
    </row>
    <row r="40" spans="1:52" ht="15.95" customHeight="1" thickBot="1">
      <c r="A40" s="31" t="s">
        <v>137</v>
      </c>
      <c r="B40" s="1424"/>
      <c r="C40" s="1425"/>
      <c r="D40" s="1424"/>
      <c r="E40" s="1425"/>
      <c r="F40" s="10"/>
      <c r="G40" s="37"/>
    </row>
    <row r="41" spans="1:52" s="84" customFormat="1" ht="18" customHeight="1" thickBot="1">
      <c r="A41" s="1430" t="s">
        <v>226</v>
      </c>
      <c r="B41" s="1431"/>
      <c r="C41" s="1431"/>
      <c r="D41" s="1431"/>
      <c r="E41" s="1431"/>
      <c r="F41" s="1431"/>
      <c r="G41" s="1431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</row>
    <row r="42" spans="1:52" ht="15.95" customHeight="1">
      <c r="A42" s="1432" t="s">
        <v>83</v>
      </c>
      <c r="B42" s="1433"/>
      <c r="C42" s="1433"/>
      <c r="D42" s="1433"/>
      <c r="E42" s="1433"/>
      <c r="F42" s="1433"/>
      <c r="G42" s="1434"/>
    </row>
    <row r="43" spans="1:52" ht="24" customHeight="1">
      <c r="A43" s="93"/>
      <c r="B43" s="1435" t="s">
        <v>41</v>
      </c>
      <c r="C43" s="1436"/>
      <c r="D43" s="1435" t="s">
        <v>98</v>
      </c>
      <c r="E43" s="1436"/>
      <c r="F43" s="38" t="s">
        <v>150</v>
      </c>
      <c r="G43" s="39" t="s">
        <v>318</v>
      </c>
    </row>
    <row r="44" spans="1:52" ht="15.95" customHeight="1" thickBot="1">
      <c r="A44" s="31" t="s">
        <v>136</v>
      </c>
      <c r="B44" s="1424"/>
      <c r="C44" s="1425"/>
      <c r="D44" s="1424"/>
      <c r="E44" s="1425"/>
      <c r="F44" s="10"/>
      <c r="G44" s="37"/>
    </row>
    <row r="45" spans="1:52" ht="13.5" thickBot="1">
      <c r="A45" s="1443" t="s">
        <v>326</v>
      </c>
      <c r="B45" s="1444"/>
      <c r="C45" s="1444"/>
      <c r="D45" s="1444"/>
      <c r="E45" s="1444"/>
      <c r="F45" s="1444"/>
      <c r="G45" s="1444"/>
    </row>
    <row r="46" spans="1:52">
      <c r="A46" s="1439" t="s">
        <v>227</v>
      </c>
      <c r="B46" s="1440"/>
      <c r="C46" s="1440"/>
      <c r="D46" s="1440"/>
      <c r="E46" s="1440"/>
      <c r="F46" s="40" t="s">
        <v>150</v>
      </c>
      <c r="G46" s="41" t="s">
        <v>151</v>
      </c>
    </row>
    <row r="47" spans="1:52" ht="13.5" thickBot="1">
      <c r="A47" s="1441"/>
      <c r="B47" s="1442"/>
      <c r="C47" s="1442"/>
      <c r="D47" s="1442"/>
      <c r="E47" s="1442"/>
      <c r="F47" s="97"/>
      <c r="G47" s="42"/>
    </row>
    <row r="48" spans="1:52" ht="9" customHeight="1">
      <c r="A48" s="1437" t="s">
        <v>3517</v>
      </c>
      <c r="B48" s="841"/>
      <c r="C48" s="841"/>
      <c r="D48" s="841"/>
      <c r="E48" s="841"/>
      <c r="F48" s="841"/>
      <c r="G48" s="841"/>
    </row>
    <row r="49" spans="1:7" ht="9" customHeight="1">
      <c r="A49" s="1438" t="s">
        <v>197</v>
      </c>
      <c r="B49" s="789"/>
      <c r="C49" s="789"/>
      <c r="D49" s="789"/>
      <c r="E49" s="789"/>
      <c r="F49" s="789"/>
      <c r="G49" s="789"/>
    </row>
    <row r="50" spans="1:7">
      <c r="A50" s="1330" t="s">
        <v>301</v>
      </c>
      <c r="B50" s="1330"/>
      <c r="C50" s="1330"/>
      <c r="D50" s="1330"/>
      <c r="E50" s="1330"/>
      <c r="F50" s="1330"/>
      <c r="G50" s="1330"/>
    </row>
    <row r="51" spans="1:7">
      <c r="A51" s="78"/>
      <c r="B51" s="78"/>
      <c r="C51" s="78"/>
      <c r="D51" s="78"/>
      <c r="E51" s="78"/>
      <c r="F51" s="78"/>
      <c r="G51" s="78"/>
    </row>
    <row r="52" spans="1:7">
      <c r="A52" s="78"/>
      <c r="B52" s="78"/>
      <c r="C52" s="78"/>
      <c r="D52" s="78"/>
      <c r="E52" s="78"/>
      <c r="F52" s="78"/>
      <c r="G52" s="78"/>
    </row>
    <row r="53" spans="1:7">
      <c r="A53" s="78"/>
      <c r="B53" s="78"/>
      <c r="C53" s="78"/>
      <c r="D53" s="78"/>
      <c r="E53" s="78"/>
      <c r="F53" s="78"/>
      <c r="G53" s="78"/>
    </row>
    <row r="54" spans="1:7">
      <c r="A54" s="78"/>
      <c r="B54" s="78"/>
      <c r="C54" s="78"/>
      <c r="D54" s="78"/>
      <c r="E54" s="78"/>
      <c r="F54" s="78"/>
      <c r="G54" s="78"/>
    </row>
    <row r="55" spans="1:7">
      <c r="A55" s="78"/>
      <c r="B55" s="78"/>
      <c r="C55" s="78"/>
      <c r="D55" s="78"/>
      <c r="E55" s="78"/>
      <c r="F55" s="78"/>
      <c r="G55" s="78"/>
    </row>
    <row r="56" spans="1:7">
      <c r="A56" s="78"/>
      <c r="B56" s="78"/>
      <c r="C56" s="78"/>
      <c r="D56" s="78"/>
      <c r="E56" s="78"/>
      <c r="F56" s="78"/>
      <c r="G56" s="78"/>
    </row>
    <row r="57" spans="1:7">
      <c r="A57" s="78"/>
      <c r="B57" s="78"/>
      <c r="C57" s="78"/>
      <c r="D57" s="78"/>
      <c r="E57" s="78"/>
      <c r="F57" s="78"/>
      <c r="G57" s="78"/>
    </row>
    <row r="58" spans="1:7">
      <c r="A58" s="78"/>
      <c r="B58" s="78"/>
      <c r="C58" s="78"/>
      <c r="D58" s="78"/>
      <c r="E58" s="78"/>
      <c r="F58" s="78"/>
      <c r="G58" s="78"/>
    </row>
    <row r="59" spans="1:7">
      <c r="A59" s="78"/>
      <c r="B59" s="78"/>
      <c r="C59" s="78"/>
      <c r="D59" s="78"/>
      <c r="E59" s="78"/>
      <c r="F59" s="78"/>
      <c r="G59" s="78"/>
    </row>
    <row r="60" spans="1:7">
      <c r="A60" s="78"/>
      <c r="B60" s="78"/>
      <c r="C60" s="78"/>
      <c r="D60" s="78"/>
      <c r="E60" s="78"/>
      <c r="F60" s="78"/>
      <c r="G60" s="78"/>
    </row>
    <row r="61" spans="1:7">
      <c r="A61" s="78"/>
      <c r="B61" s="78"/>
      <c r="C61" s="78"/>
      <c r="D61" s="78"/>
      <c r="E61" s="78"/>
      <c r="F61" s="78"/>
      <c r="G61" s="78"/>
    </row>
    <row r="62" spans="1:7">
      <c r="A62" s="78"/>
      <c r="B62" s="78"/>
      <c r="C62" s="78"/>
      <c r="D62" s="78"/>
      <c r="E62" s="78"/>
      <c r="F62" s="78"/>
      <c r="G62" s="78"/>
    </row>
    <row r="63" spans="1:7">
      <c r="A63" s="78"/>
      <c r="B63" s="78"/>
      <c r="C63" s="78"/>
      <c r="D63" s="78"/>
      <c r="E63" s="78"/>
      <c r="F63" s="78"/>
      <c r="G63" s="78"/>
    </row>
    <row r="64" spans="1:7">
      <c r="A64" s="78"/>
      <c r="B64" s="78"/>
      <c r="C64" s="78"/>
      <c r="D64" s="78"/>
      <c r="E64" s="78"/>
      <c r="F64" s="78"/>
      <c r="G64" s="78"/>
    </row>
    <row r="65" spans="1:7">
      <c r="A65" s="78"/>
      <c r="B65" s="78"/>
      <c r="C65" s="78"/>
      <c r="D65" s="78"/>
      <c r="E65" s="78"/>
      <c r="F65" s="78"/>
      <c r="G65" s="78"/>
    </row>
    <row r="66" spans="1:7">
      <c r="A66" s="78"/>
      <c r="B66" s="78"/>
      <c r="C66" s="78"/>
      <c r="D66" s="78"/>
      <c r="E66" s="78"/>
      <c r="F66" s="78"/>
      <c r="G66" s="78"/>
    </row>
    <row r="67" spans="1:7">
      <c r="A67" s="78"/>
      <c r="B67" s="78"/>
      <c r="C67" s="78"/>
      <c r="D67" s="78"/>
      <c r="E67" s="78"/>
      <c r="F67" s="78"/>
      <c r="G67" s="78"/>
    </row>
    <row r="68" spans="1:7">
      <c r="A68" s="78"/>
      <c r="B68" s="78"/>
      <c r="C68" s="78"/>
      <c r="D68" s="78"/>
      <c r="E68" s="78"/>
      <c r="F68" s="78"/>
      <c r="G68" s="78"/>
    </row>
    <row r="69" spans="1:7">
      <c r="A69" s="78"/>
      <c r="B69" s="78"/>
      <c r="C69" s="78"/>
      <c r="D69" s="78"/>
      <c r="E69" s="78"/>
      <c r="F69" s="78"/>
      <c r="G69" s="78"/>
    </row>
    <row r="70" spans="1:7">
      <c r="A70" s="78"/>
      <c r="B70" s="78"/>
      <c r="C70" s="78"/>
      <c r="D70" s="78"/>
      <c r="E70" s="78"/>
      <c r="F70" s="78"/>
      <c r="G70" s="78"/>
    </row>
    <row r="71" spans="1:7">
      <c r="A71" s="78"/>
      <c r="B71" s="78"/>
      <c r="C71" s="78"/>
      <c r="D71" s="78"/>
      <c r="E71" s="78"/>
      <c r="F71" s="78"/>
      <c r="G71" s="78"/>
    </row>
    <row r="72" spans="1:7">
      <c r="A72" s="78"/>
      <c r="B72" s="78"/>
      <c r="C72" s="78"/>
      <c r="D72" s="78"/>
      <c r="E72" s="78"/>
      <c r="F72" s="78"/>
      <c r="G72" s="78"/>
    </row>
    <row r="73" spans="1:7">
      <c r="A73" s="78"/>
      <c r="B73" s="78"/>
      <c r="C73" s="78"/>
      <c r="D73" s="78"/>
      <c r="E73" s="78"/>
      <c r="F73" s="78"/>
      <c r="G73" s="78"/>
    </row>
    <row r="74" spans="1:7">
      <c r="A74" s="78"/>
      <c r="B74" s="78"/>
      <c r="C74" s="78"/>
      <c r="D74" s="78"/>
      <c r="E74" s="78"/>
      <c r="F74" s="78"/>
      <c r="G74" s="78"/>
    </row>
    <row r="75" spans="1:7">
      <c r="A75" s="78"/>
      <c r="B75" s="78"/>
      <c r="C75" s="78"/>
      <c r="D75" s="78"/>
      <c r="E75" s="78"/>
      <c r="F75" s="78"/>
      <c r="G75" s="78"/>
    </row>
    <row r="76" spans="1:7">
      <c r="A76" s="78"/>
      <c r="B76" s="78"/>
      <c r="C76" s="78"/>
      <c r="D76" s="78"/>
      <c r="E76" s="78"/>
      <c r="F76" s="78"/>
      <c r="G76" s="78"/>
    </row>
    <row r="77" spans="1:7">
      <c r="A77" s="78"/>
      <c r="B77" s="78"/>
      <c r="C77" s="78"/>
      <c r="D77" s="78"/>
      <c r="E77" s="78"/>
      <c r="F77" s="78"/>
      <c r="G77" s="78"/>
    </row>
    <row r="78" spans="1:7">
      <c r="A78" s="78"/>
      <c r="B78" s="78"/>
      <c r="C78" s="78"/>
      <c r="D78" s="78"/>
      <c r="E78" s="78"/>
      <c r="F78" s="78"/>
      <c r="G78" s="78"/>
    </row>
    <row r="79" spans="1:7">
      <c r="A79" s="78"/>
      <c r="B79" s="78"/>
      <c r="C79" s="78"/>
      <c r="D79" s="78"/>
      <c r="E79" s="78"/>
      <c r="F79" s="78"/>
      <c r="G79" s="78"/>
    </row>
    <row r="80" spans="1:7">
      <c r="A80" s="78"/>
      <c r="B80" s="78"/>
      <c r="C80" s="78"/>
      <c r="D80" s="78"/>
      <c r="E80" s="78"/>
      <c r="F80" s="78"/>
      <c r="G80" s="78"/>
    </row>
    <row r="81" s="78" customFormat="1"/>
    <row r="82" s="78" customFormat="1"/>
    <row r="83" s="78" customFormat="1"/>
    <row r="84" s="78" customFormat="1"/>
    <row r="85" s="78" customFormat="1"/>
    <row r="86" s="78" customFormat="1"/>
    <row r="87" s="78" customFormat="1"/>
    <row r="88" s="78" customFormat="1"/>
    <row r="89" s="78" customFormat="1"/>
    <row r="90" s="78" customFormat="1"/>
    <row r="91" s="78" customFormat="1"/>
    <row r="92" s="78" customFormat="1"/>
    <row r="93" s="78" customFormat="1"/>
    <row r="94" s="78" customFormat="1"/>
    <row r="95" s="78" customFormat="1"/>
    <row r="96" s="78" customFormat="1"/>
    <row r="97" s="78" customFormat="1"/>
    <row r="98" s="78" customFormat="1"/>
    <row r="99" s="78" customFormat="1"/>
    <row r="100" s="78" customFormat="1"/>
    <row r="101" s="78" customFormat="1"/>
    <row r="102" s="78" customFormat="1"/>
    <row r="103" s="78" customFormat="1"/>
    <row r="104" s="78" customFormat="1"/>
    <row r="105" s="78" customFormat="1"/>
    <row r="106" s="78" customFormat="1"/>
    <row r="107" s="78" customFormat="1"/>
    <row r="108" s="78" customFormat="1"/>
    <row r="109" s="78" customFormat="1"/>
    <row r="110" s="78" customFormat="1"/>
    <row r="111" s="78" customFormat="1"/>
    <row r="112" s="78" customFormat="1"/>
    <row r="113" s="78" customFormat="1"/>
    <row r="114" s="78" customFormat="1"/>
    <row r="115" s="78" customFormat="1"/>
    <row r="116" s="78" customFormat="1"/>
    <row r="117" s="78" customFormat="1"/>
    <row r="118" s="78" customFormat="1"/>
    <row r="119" s="78" customFormat="1"/>
    <row r="120" s="78" customFormat="1"/>
    <row r="121" s="78" customFormat="1"/>
    <row r="122" s="78" customFormat="1"/>
    <row r="123" s="78" customFormat="1"/>
    <row r="124" s="78" customFormat="1"/>
    <row r="125" s="78" customFormat="1"/>
    <row r="126" s="78" customFormat="1"/>
    <row r="127" s="78" customFormat="1"/>
    <row r="128" s="78" customFormat="1"/>
    <row r="129" s="78" customFormat="1"/>
    <row r="130" s="78" customFormat="1"/>
    <row r="131" s="78" customFormat="1"/>
    <row r="132" s="78" customFormat="1"/>
    <row r="133" s="78" customFormat="1"/>
    <row r="134" s="78" customFormat="1"/>
    <row r="135" s="78" customFormat="1"/>
    <row r="136" s="78" customFormat="1"/>
    <row r="137" s="78" customFormat="1"/>
    <row r="138" s="78" customFormat="1"/>
    <row r="139" s="78" customFormat="1"/>
    <row r="140" s="78" customFormat="1"/>
    <row r="141" s="78" customFormat="1"/>
    <row r="142" s="78" customFormat="1"/>
    <row r="143" s="78" customFormat="1"/>
    <row r="144" s="78" customFormat="1"/>
    <row r="145" s="78" customFormat="1"/>
    <row r="146" s="78" customFormat="1"/>
    <row r="147" s="78" customFormat="1"/>
    <row r="148" s="78" customFormat="1"/>
    <row r="149" s="78" customFormat="1"/>
    <row r="150" s="78" customFormat="1"/>
    <row r="151" s="78" customFormat="1"/>
    <row r="152" s="78" customFormat="1"/>
    <row r="153" s="78" customFormat="1"/>
    <row r="154" s="78" customFormat="1"/>
    <row r="155" s="78" customFormat="1"/>
    <row r="156" s="78" customFormat="1"/>
    <row r="157" s="78" customFormat="1"/>
    <row r="158" s="78" customFormat="1"/>
    <row r="159" s="78" customFormat="1"/>
    <row r="160" s="78" customFormat="1"/>
    <row r="161" s="78" customFormat="1"/>
    <row r="162" s="78" customFormat="1"/>
    <row r="163" s="78" customFormat="1"/>
    <row r="164" s="78" customFormat="1"/>
    <row r="165" s="78" customFormat="1"/>
    <row r="166" s="78" customFormat="1"/>
    <row r="167" s="78" customFormat="1"/>
    <row r="168" s="78" customFormat="1"/>
    <row r="169" s="78" customFormat="1"/>
    <row r="170" s="78" customFormat="1"/>
    <row r="171" s="78" customFormat="1"/>
    <row r="172" s="78" customFormat="1"/>
    <row r="173" s="78" customFormat="1"/>
    <row r="174" s="78" customFormat="1"/>
    <row r="175" s="78" customFormat="1"/>
    <row r="176" s="78" customFormat="1"/>
    <row r="177" s="78" customFormat="1"/>
    <row r="178" s="78" customFormat="1"/>
    <row r="179" s="78" customFormat="1"/>
    <row r="180" s="78" customFormat="1"/>
    <row r="181" s="78" customFormat="1"/>
    <row r="182" s="78" customFormat="1"/>
    <row r="183" s="78" customFormat="1"/>
    <row r="184" s="78" customFormat="1"/>
    <row r="185" s="78" customFormat="1"/>
    <row r="186" s="78" customFormat="1"/>
    <row r="187" s="78" customFormat="1"/>
    <row r="188" s="78" customFormat="1"/>
    <row r="189" s="78" customFormat="1"/>
    <row r="190" s="78" customFormat="1"/>
    <row r="191" s="78" customFormat="1"/>
    <row r="192" s="78" customFormat="1"/>
    <row r="193" s="78" customFormat="1"/>
    <row r="194" s="78" customFormat="1"/>
    <row r="195" s="78" customFormat="1"/>
    <row r="196" s="78" customFormat="1"/>
    <row r="197" s="78" customFormat="1"/>
    <row r="198" s="78" customFormat="1"/>
    <row r="199" s="78" customFormat="1"/>
    <row r="200" s="78" customFormat="1"/>
    <row r="201" s="78" customFormat="1"/>
  </sheetData>
  <sheetProtection algorithmName="SHA-512" hashValue="zzq+efYkgeEjCQe3CN0KVIGqJ2RqYGiDWsvNX7uPk3+5z9j4q5lbjzPkKEqsXRz7ROmePxWvN/8RByAITSWAWg==" saltValue="U4OcVqyFJzXVh1DDdBVTp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223"/>
  <sheetViews>
    <sheetView topLeftCell="A4" workbookViewId="0">
      <selection activeCell="G10" sqref="G10:H10"/>
    </sheetView>
  </sheetViews>
  <sheetFormatPr defaultRowHeight="12.75"/>
  <cols>
    <col min="1" max="1" width="4" customWidth="1"/>
    <col min="2" max="2" width="14.7109375" customWidth="1"/>
    <col min="3" max="3" width="18.7109375" customWidth="1"/>
    <col min="4" max="5" width="8.28515625" customWidth="1"/>
    <col min="6" max="6" width="3.7109375" customWidth="1"/>
    <col min="7" max="7" width="12.7109375" customWidth="1"/>
    <col min="8" max="8" width="5.7109375" customWidth="1"/>
    <col min="9" max="9" width="14.7109375" customWidth="1"/>
    <col min="10" max="10" width="5.7109375" customWidth="1"/>
    <col min="11" max="59" width="9.140625" style="78"/>
  </cols>
  <sheetData>
    <row r="1" spans="1:59" ht="18" customHeight="1" thickBot="1">
      <c r="A1" s="1382" t="s">
        <v>200</v>
      </c>
      <c r="B1" s="1383"/>
      <c r="C1" s="1383"/>
      <c r="D1" s="1383"/>
      <c r="E1" s="1383"/>
      <c r="F1" s="1383"/>
      <c r="G1" s="1478" t="s">
        <v>37</v>
      </c>
      <c r="H1" s="844"/>
      <c r="I1" s="1369" t="str">
        <f>'DAP1'!A9</f>
        <v/>
      </c>
      <c r="J1" s="1057"/>
    </row>
    <row r="2" spans="1:59" ht="24" customHeight="1">
      <c r="A2" s="1381" t="s">
        <v>3860</v>
      </c>
      <c r="B2" s="1381"/>
      <c r="C2" s="1381"/>
      <c r="D2" s="1381"/>
      <c r="E2" s="1381"/>
      <c r="F2" s="1381"/>
      <c r="G2" s="789"/>
      <c r="H2" s="1410"/>
      <c r="I2" s="1410"/>
      <c r="J2" s="1410"/>
    </row>
    <row r="3" spans="1:59" ht="36" customHeight="1">
      <c r="A3" s="1372" t="s">
        <v>171</v>
      </c>
      <c r="B3" s="1373"/>
      <c r="C3" s="1373"/>
      <c r="D3" s="1373"/>
      <c r="E3" s="1373"/>
      <c r="F3" s="1373"/>
      <c r="G3" s="1373"/>
      <c r="H3" s="1373"/>
      <c r="I3" s="1373"/>
      <c r="J3" s="1373"/>
    </row>
    <row r="4" spans="1:59" ht="30" customHeight="1">
      <c r="A4" s="1457" t="s">
        <v>3518</v>
      </c>
      <c r="B4" s="1458"/>
      <c r="C4" s="1458"/>
      <c r="D4" s="1458"/>
      <c r="E4" s="1458"/>
      <c r="F4" s="1458"/>
      <c r="G4" s="1458"/>
      <c r="H4" s="1458"/>
      <c r="I4" s="1458"/>
      <c r="J4" s="1458"/>
    </row>
    <row r="5" spans="1:59" ht="18" customHeight="1">
      <c r="A5" s="1386" t="s">
        <v>3519</v>
      </c>
      <c r="B5" s="1387"/>
      <c r="C5" s="1387"/>
      <c r="D5" s="1387"/>
      <c r="E5" s="1387"/>
      <c r="F5" s="1387"/>
      <c r="G5" s="1387"/>
      <c r="H5" s="1387"/>
      <c r="I5" s="1387"/>
      <c r="J5" s="1387"/>
    </row>
    <row r="6" spans="1:59" ht="18" customHeight="1" thickBot="1">
      <c r="A6" s="1473" t="s">
        <v>287</v>
      </c>
      <c r="B6" s="1474"/>
      <c r="C6" s="1474"/>
      <c r="D6" s="1474"/>
      <c r="E6" s="1474"/>
      <c r="F6" s="1474"/>
      <c r="G6" s="1474"/>
      <c r="H6" s="1474"/>
      <c r="I6" s="1474"/>
      <c r="J6" s="1474"/>
    </row>
    <row r="7" spans="1:59" s="146" customFormat="1" ht="24" customHeight="1" thickBot="1">
      <c r="A7" s="1480" t="s">
        <v>3520</v>
      </c>
      <c r="B7" s="1481"/>
      <c r="C7" s="1481"/>
      <c r="D7" s="166"/>
      <c r="E7" s="167"/>
      <c r="F7" s="1466" t="s">
        <v>86</v>
      </c>
      <c r="G7" s="1467"/>
      <c r="H7" s="1467"/>
      <c r="I7" s="1467"/>
      <c r="J7" s="166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</row>
    <row r="8" spans="1:59" ht="12" customHeight="1" thickBot="1">
      <c r="A8" s="1468"/>
      <c r="B8" s="1469"/>
      <c r="C8" s="1469"/>
      <c r="D8" s="1469"/>
      <c r="E8" s="1469"/>
      <c r="F8" s="1469"/>
      <c r="G8" s="1469"/>
      <c r="H8" s="1469"/>
      <c r="I8" s="1469"/>
      <c r="J8" s="1469"/>
    </row>
    <row r="9" spans="1:59" ht="12" customHeight="1">
      <c r="A9" s="1470"/>
      <c r="B9" s="1471"/>
      <c r="C9" s="1471"/>
      <c r="D9" s="1471"/>
      <c r="E9" s="1471"/>
      <c r="F9" s="1472"/>
      <c r="G9" s="1087" t="s">
        <v>149</v>
      </c>
      <c r="H9" s="1462"/>
      <c r="I9" s="1087" t="s">
        <v>157</v>
      </c>
      <c r="J9" s="1463"/>
    </row>
    <row r="10" spans="1:59" ht="21" customHeight="1">
      <c r="A10" s="19">
        <v>201</v>
      </c>
      <c r="B10" s="1113" t="s">
        <v>3732</v>
      </c>
      <c r="C10" s="1113"/>
      <c r="D10" s="1113"/>
      <c r="E10" s="1113"/>
      <c r="F10" s="1114"/>
      <c r="G10" s="960">
        <v>0</v>
      </c>
      <c r="H10" s="1456"/>
      <c r="I10" s="1447"/>
      <c r="J10" s="1448"/>
    </row>
    <row r="11" spans="1:59" ht="21" customHeight="1">
      <c r="A11" s="19" t="s">
        <v>84</v>
      </c>
      <c r="B11" s="1113" t="s">
        <v>3521</v>
      </c>
      <c r="C11" s="1113"/>
      <c r="D11" s="1113"/>
      <c r="E11" s="1113"/>
      <c r="F11" s="1114"/>
      <c r="G11" s="960">
        <f>+G10</f>
        <v>0</v>
      </c>
      <c r="H11" s="1456"/>
      <c r="I11" s="1447"/>
      <c r="J11" s="1448"/>
    </row>
    <row r="12" spans="1:59" ht="21" customHeight="1">
      <c r="A12" s="19">
        <v>202</v>
      </c>
      <c r="B12" s="1113" t="s">
        <v>262</v>
      </c>
      <c r="C12" s="1113"/>
      <c r="D12" s="1113"/>
      <c r="E12" s="1113"/>
      <c r="F12" s="1114"/>
      <c r="G12" s="960">
        <f>+MIN(600000,ROUND(G10*0.3,0))</f>
        <v>0</v>
      </c>
      <c r="H12" s="1456"/>
      <c r="I12" s="1447"/>
      <c r="J12" s="1448"/>
    </row>
    <row r="13" spans="1:59" ht="27.95" customHeight="1">
      <c r="A13" s="19">
        <v>203</v>
      </c>
      <c r="B13" s="949" t="s">
        <v>87</v>
      </c>
      <c r="C13" s="949"/>
      <c r="D13" s="949"/>
      <c r="E13" s="949"/>
      <c r="F13" s="1115"/>
      <c r="G13" s="957">
        <f>+G10-G12</f>
        <v>0</v>
      </c>
      <c r="H13" s="1482"/>
      <c r="I13" s="1447"/>
      <c r="J13" s="1448"/>
    </row>
    <row r="14" spans="1:59" ht="36" customHeight="1">
      <c r="A14" s="19">
        <v>204</v>
      </c>
      <c r="B14" s="949" t="s">
        <v>3633</v>
      </c>
      <c r="C14" s="949"/>
      <c r="D14" s="949"/>
      <c r="E14" s="949"/>
      <c r="F14" s="1115"/>
      <c r="G14" s="960">
        <v>0</v>
      </c>
      <c r="H14" s="1456"/>
      <c r="I14" s="1447"/>
      <c r="J14" s="1448"/>
    </row>
    <row r="15" spans="1:59" ht="36" customHeight="1">
      <c r="A15" s="19">
        <v>205</v>
      </c>
      <c r="B15" s="949" t="s">
        <v>3634</v>
      </c>
      <c r="C15" s="949"/>
      <c r="D15" s="949"/>
      <c r="E15" s="949"/>
      <c r="F15" s="1115"/>
      <c r="G15" s="960">
        <v>0</v>
      </c>
      <c r="H15" s="1456"/>
      <c r="I15" s="1447"/>
      <c r="J15" s="1448"/>
    </row>
    <row r="16" spans="1:59" ht="27.95" customHeight="1" thickBot="1">
      <c r="A16" s="18">
        <v>206</v>
      </c>
      <c r="B16" s="987" t="s">
        <v>3800</v>
      </c>
      <c r="C16" s="987"/>
      <c r="D16" s="987"/>
      <c r="E16" s="987"/>
      <c r="F16" s="1483"/>
      <c r="G16" s="1007">
        <f>+G13+G14-G15</f>
        <v>0</v>
      </c>
      <c r="H16" s="1475"/>
      <c r="I16" s="1476"/>
      <c r="J16" s="1477"/>
    </row>
    <row r="17" spans="1:10" ht="8.1" customHeight="1" thickBot="1">
      <c r="A17" s="1386"/>
      <c r="B17" s="1387"/>
      <c r="C17" s="1387"/>
      <c r="D17" s="1387"/>
      <c r="E17" s="1387"/>
      <c r="F17" s="1387"/>
      <c r="G17" s="1387"/>
      <c r="H17" s="1387"/>
      <c r="I17" s="1387"/>
      <c r="J17" s="1387"/>
    </row>
    <row r="18" spans="1:10" ht="24" customHeight="1" thickBot="1">
      <c r="A18" s="1449" t="s">
        <v>283</v>
      </c>
      <c r="B18" s="1450"/>
      <c r="C18" s="1452">
        <v>0</v>
      </c>
      <c r="D18" s="1453"/>
      <c r="E18" s="1454"/>
      <c r="F18" s="1451" t="s">
        <v>284</v>
      </c>
      <c r="G18" s="1450"/>
      <c r="H18" s="1452">
        <v>0</v>
      </c>
      <c r="I18" s="1453"/>
      <c r="J18" s="1455"/>
    </row>
    <row r="19" spans="1:10" ht="12" customHeight="1">
      <c r="A19" s="1386"/>
      <c r="B19" s="1387"/>
      <c r="C19" s="1387"/>
      <c r="D19" s="1387"/>
      <c r="E19" s="1387"/>
      <c r="F19" s="1387"/>
      <c r="G19" s="1387"/>
      <c r="H19" s="1387"/>
      <c r="I19" s="1387"/>
      <c r="J19" s="1387"/>
    </row>
    <row r="20" spans="1:10" ht="15.95" customHeight="1">
      <c r="A20" s="1386" t="s">
        <v>3522</v>
      </c>
      <c r="B20" s="1387"/>
      <c r="C20" s="1387"/>
      <c r="D20" s="1387"/>
      <c r="E20" s="1387"/>
      <c r="F20" s="1387"/>
      <c r="G20" s="1387"/>
      <c r="H20" s="1387"/>
      <c r="I20" s="1387"/>
      <c r="J20" s="1387"/>
    </row>
    <row r="21" spans="1:10" ht="15.95" customHeight="1" thickBot="1">
      <c r="A21" s="1473" t="s">
        <v>263</v>
      </c>
      <c r="B21" s="1474"/>
      <c r="C21" s="1474"/>
      <c r="D21" s="1474"/>
      <c r="E21" s="1474"/>
      <c r="F21" s="1474"/>
      <c r="G21" s="1474"/>
      <c r="H21" s="1474"/>
      <c r="I21" s="1474"/>
      <c r="J21" s="1474"/>
    </row>
    <row r="22" spans="1:10" ht="24" customHeight="1">
      <c r="A22" s="1504" t="s">
        <v>152</v>
      </c>
      <c r="B22" s="1005"/>
      <c r="C22" s="1416"/>
      <c r="D22" s="1366" t="s">
        <v>146</v>
      </c>
      <c r="E22" s="1486"/>
      <c r="F22" s="1366" t="s">
        <v>147</v>
      </c>
      <c r="G22" s="1486"/>
      <c r="H22" s="1491" t="s">
        <v>3523</v>
      </c>
      <c r="I22" s="1149"/>
      <c r="J22" s="124" t="s">
        <v>96</v>
      </c>
    </row>
    <row r="23" spans="1:10">
      <c r="A23" s="1505">
        <v>1</v>
      </c>
      <c r="B23" s="930"/>
      <c r="C23" s="1506"/>
      <c r="D23" s="1487">
        <v>2</v>
      </c>
      <c r="E23" s="1488"/>
      <c r="F23" s="1487">
        <v>3</v>
      </c>
      <c r="G23" s="1488"/>
      <c r="H23" s="1487">
        <v>4</v>
      </c>
      <c r="I23" s="1492"/>
      <c r="J23" s="8">
        <v>5</v>
      </c>
    </row>
    <row r="24" spans="1:10" ht="21" customHeight="1">
      <c r="A24" s="19">
        <v>1</v>
      </c>
      <c r="B24" s="1509"/>
      <c r="C24" s="942"/>
      <c r="D24" s="1484">
        <v>0</v>
      </c>
      <c r="E24" s="1485"/>
      <c r="F24" s="1484">
        <v>0</v>
      </c>
      <c r="G24" s="1485"/>
      <c r="H24" s="1489">
        <f>+MAX(0,D24-F24)</f>
        <v>0</v>
      </c>
      <c r="I24" s="1490"/>
      <c r="J24" s="103"/>
    </row>
    <row r="25" spans="1:10" ht="21" customHeight="1">
      <c r="A25" s="19">
        <v>2</v>
      </c>
      <c r="B25" s="1509"/>
      <c r="C25" s="942"/>
      <c r="D25" s="1484">
        <v>0</v>
      </c>
      <c r="E25" s="1485"/>
      <c r="F25" s="1484">
        <v>0</v>
      </c>
      <c r="G25" s="1485"/>
      <c r="H25" s="1489">
        <f>+MAX(0,D25-F25)</f>
        <v>0</v>
      </c>
      <c r="I25" s="1490"/>
      <c r="J25" s="103"/>
    </row>
    <row r="26" spans="1:10" ht="21" customHeight="1">
      <c r="A26" s="19">
        <v>3</v>
      </c>
      <c r="B26" s="1509"/>
      <c r="C26" s="942"/>
      <c r="D26" s="1484">
        <v>0</v>
      </c>
      <c r="E26" s="1485"/>
      <c r="F26" s="1484">
        <v>0</v>
      </c>
      <c r="G26" s="1485"/>
      <c r="H26" s="1489">
        <f>+MAX(0,D26-F26)</f>
        <v>0</v>
      </c>
      <c r="I26" s="1490"/>
      <c r="J26" s="103"/>
    </row>
    <row r="27" spans="1:10" ht="21" customHeight="1">
      <c r="A27" s="19">
        <v>4</v>
      </c>
      <c r="B27" s="1509"/>
      <c r="C27" s="942"/>
      <c r="D27" s="1484">
        <v>0</v>
      </c>
      <c r="E27" s="1485"/>
      <c r="F27" s="1484">
        <v>0</v>
      </c>
      <c r="G27" s="1485"/>
      <c r="H27" s="1489">
        <f>+MAX(0,D27-F27)</f>
        <v>0</v>
      </c>
      <c r="I27" s="1490"/>
      <c r="J27" s="103"/>
    </row>
    <row r="28" spans="1:10" ht="21" customHeight="1" thickBot="1">
      <c r="A28" s="1507" t="s">
        <v>114</v>
      </c>
      <c r="B28" s="1508"/>
      <c r="C28" s="1046"/>
      <c r="D28" s="1493">
        <f>SUM(D24:D27)</f>
        <v>0</v>
      </c>
      <c r="E28" s="1494"/>
      <c r="F28" s="1493">
        <f>SUM(F24:F27)</f>
        <v>0</v>
      </c>
      <c r="G28" s="1494"/>
      <c r="H28" s="1493">
        <f>SUM(H24:H27)</f>
        <v>0</v>
      </c>
      <c r="I28" s="1494"/>
      <c r="J28" s="20" t="s">
        <v>142</v>
      </c>
    </row>
    <row r="29" spans="1:10" ht="5.0999999999999996" customHeight="1" thickBot="1">
      <c r="A29" s="1510"/>
      <c r="B29" s="841"/>
      <c r="C29" s="841"/>
      <c r="D29" s="841"/>
      <c r="E29" s="841"/>
      <c r="F29" s="841"/>
      <c r="G29" s="841"/>
      <c r="H29" s="841"/>
      <c r="I29" s="841"/>
      <c r="J29" s="841"/>
    </row>
    <row r="30" spans="1:10" ht="24" customHeight="1" thickBot="1">
      <c r="A30" s="1053" t="s">
        <v>85</v>
      </c>
      <c r="B30" s="1511"/>
      <c r="C30" s="1512"/>
      <c r="D30" s="1513"/>
      <c r="E30" s="1514"/>
      <c r="F30" s="1515"/>
      <c r="G30" s="1515"/>
      <c r="H30" s="1515"/>
      <c r="I30" s="1515"/>
      <c r="J30" s="1515"/>
    </row>
    <row r="31" spans="1:10" ht="5.0999999999999996" customHeight="1" thickBot="1">
      <c r="A31" s="1496"/>
      <c r="B31" s="857"/>
      <c r="C31" s="857"/>
      <c r="D31" s="857"/>
      <c r="E31" s="857"/>
      <c r="F31" s="857"/>
      <c r="G31" s="857"/>
      <c r="H31" s="857"/>
      <c r="I31" s="857"/>
      <c r="J31" s="857"/>
    </row>
    <row r="32" spans="1:10" ht="15.95" customHeight="1">
      <c r="A32" s="1415"/>
      <c r="B32" s="998"/>
      <c r="C32" s="998"/>
      <c r="D32" s="998"/>
      <c r="E32" s="998"/>
      <c r="F32" s="1499"/>
      <c r="G32" s="1165" t="s">
        <v>149</v>
      </c>
      <c r="H32" s="1502"/>
      <c r="I32" s="1165" t="s">
        <v>157</v>
      </c>
      <c r="J32" s="1503"/>
    </row>
    <row r="33" spans="1:59" ht="21" customHeight="1">
      <c r="A33" s="19">
        <v>207</v>
      </c>
      <c r="B33" s="1497" t="s">
        <v>7</v>
      </c>
      <c r="C33" s="1497"/>
      <c r="D33" s="1497"/>
      <c r="E33" s="1497"/>
      <c r="F33" s="1498"/>
      <c r="G33" s="1501">
        <f>+SUM(D24:E27)</f>
        <v>0</v>
      </c>
      <c r="H33" s="959"/>
      <c r="I33" s="1479"/>
      <c r="J33" s="1031"/>
    </row>
    <row r="34" spans="1:59" ht="21" customHeight="1">
      <c r="A34" s="19">
        <v>208</v>
      </c>
      <c r="B34" s="1497" t="s">
        <v>3524</v>
      </c>
      <c r="C34" s="1497"/>
      <c r="D34" s="1497"/>
      <c r="E34" s="1497"/>
      <c r="F34" s="1498"/>
      <c r="G34" s="1501">
        <f>+G33-H28</f>
        <v>0</v>
      </c>
      <c r="H34" s="959"/>
      <c r="I34" s="1479"/>
      <c r="J34" s="1031"/>
    </row>
    <row r="35" spans="1:59" s="90" customFormat="1" ht="21" customHeight="1" thickBot="1">
      <c r="A35" s="18">
        <v>209</v>
      </c>
      <c r="B35" s="1500" t="s">
        <v>117</v>
      </c>
      <c r="C35" s="1500"/>
      <c r="D35" s="1500"/>
      <c r="E35" s="1500"/>
      <c r="F35" s="1163"/>
      <c r="G35" s="1118">
        <f>+G33-G34</f>
        <v>0</v>
      </c>
      <c r="H35" s="1009"/>
      <c r="I35" s="1495"/>
      <c r="J35" s="1012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</row>
    <row r="36" spans="1:59" ht="10.5" customHeight="1">
      <c r="A36" s="1459" t="s">
        <v>88</v>
      </c>
      <c r="B36" s="1365"/>
      <c r="C36" s="1365"/>
      <c r="D36" s="1365"/>
      <c r="E36" s="1365"/>
      <c r="F36" s="1365"/>
      <c r="G36" s="1365"/>
      <c r="H36" s="1365"/>
      <c r="I36" s="1365"/>
      <c r="J36" s="1365"/>
    </row>
    <row r="37" spans="1:59" ht="30" customHeight="1">
      <c r="A37" s="1460" t="s">
        <v>3525</v>
      </c>
      <c r="B37" s="1461"/>
      <c r="C37" s="1461"/>
      <c r="D37" s="1461"/>
      <c r="E37" s="1461"/>
      <c r="F37" s="1461"/>
      <c r="G37" s="1461"/>
      <c r="H37" s="1461"/>
      <c r="I37" s="1461"/>
      <c r="J37" s="1461"/>
    </row>
    <row r="38" spans="1:59" ht="12.75" customHeight="1">
      <c r="A38" s="1464" t="str">
        <f>+'DAP1'!A46</f>
        <v>Formulář zpracovala ASPEKT HM, daňová, účetní a auditorská kancelář, www.danovapriznani.cz, business.center.cz</v>
      </c>
      <c r="B38" s="1465"/>
      <c r="C38" s="1465"/>
      <c r="D38" s="1465"/>
      <c r="E38" s="1465"/>
      <c r="F38" s="1465"/>
      <c r="G38" s="1465"/>
      <c r="H38" s="1465"/>
      <c r="I38" s="1465"/>
      <c r="J38" s="1465"/>
    </row>
    <row r="39" spans="1:59" ht="12.75" customHeight="1">
      <c r="A39" s="1332" t="s">
        <v>3861</v>
      </c>
      <c r="B39" s="1332"/>
      <c r="C39" s="1332"/>
      <c r="D39" s="1332"/>
      <c r="E39" s="1332"/>
      <c r="F39" s="1332"/>
      <c r="G39" s="1332"/>
      <c r="H39" s="1332"/>
      <c r="I39" s="1332"/>
      <c r="J39" s="1332"/>
    </row>
    <row r="40" spans="1:59" ht="12" customHeight="1">
      <c r="A40" s="1330" t="s">
        <v>300</v>
      </c>
      <c r="B40" s="1330"/>
      <c r="C40" s="1330"/>
      <c r="D40" s="1330"/>
      <c r="E40" s="1330"/>
      <c r="F40" s="1330"/>
      <c r="G40" s="1330"/>
      <c r="H40" s="789"/>
      <c r="I40" s="789"/>
      <c r="J40" s="789"/>
    </row>
    <row r="41" spans="1:59">
      <c r="A41" s="78"/>
      <c r="B41" s="78"/>
      <c r="C41" s="78"/>
      <c r="D41" s="78"/>
      <c r="E41" s="78"/>
      <c r="F41" s="78"/>
      <c r="G41" s="78"/>
      <c r="H41" s="78"/>
      <c r="I41" s="78"/>
      <c r="J41" s="78"/>
    </row>
    <row r="42" spans="1:59">
      <c r="A42" s="78"/>
      <c r="B42" s="78"/>
      <c r="C42" s="78"/>
      <c r="D42" s="78"/>
      <c r="E42" s="78"/>
      <c r="F42" s="78"/>
      <c r="G42" s="78"/>
      <c r="H42" s="78"/>
      <c r="I42" s="78"/>
      <c r="J42" s="78"/>
    </row>
    <row r="43" spans="1:59">
      <c r="A43" s="78"/>
      <c r="B43" s="78"/>
      <c r="C43" s="78"/>
      <c r="D43" s="78"/>
      <c r="E43" s="78"/>
      <c r="F43" s="78"/>
      <c r="G43" s="78"/>
      <c r="H43" s="78"/>
      <c r="I43" s="78"/>
      <c r="J43" s="78"/>
    </row>
    <row r="44" spans="1:59">
      <c r="A44" s="78"/>
      <c r="B44" s="78"/>
      <c r="C44" s="78"/>
      <c r="D44" s="78"/>
      <c r="E44" s="78"/>
      <c r="F44" s="78"/>
      <c r="G44" s="78"/>
      <c r="H44" s="78"/>
      <c r="I44" s="78"/>
      <c r="J44" s="78"/>
    </row>
    <row r="45" spans="1:59">
      <c r="A45" s="78"/>
      <c r="B45" s="78"/>
      <c r="C45" s="78"/>
      <c r="D45" s="78"/>
      <c r="E45" s="78"/>
      <c r="F45" s="78"/>
      <c r="G45" s="78"/>
      <c r="H45" s="78"/>
      <c r="I45" s="78"/>
      <c r="J45" s="78"/>
    </row>
    <row r="46" spans="1:59">
      <c r="A46" s="78"/>
      <c r="B46" s="78"/>
      <c r="C46" s="78"/>
      <c r="D46" s="78"/>
      <c r="E46" s="78"/>
      <c r="F46" s="78"/>
      <c r="G46" s="78"/>
      <c r="H46" s="78"/>
      <c r="I46" s="78"/>
      <c r="J46" s="78"/>
    </row>
    <row r="47" spans="1:59">
      <c r="A47" s="78"/>
      <c r="B47" s="78"/>
      <c r="C47" s="78"/>
      <c r="D47" s="78"/>
      <c r="E47" s="78"/>
      <c r="F47" s="78"/>
      <c r="G47" s="78"/>
      <c r="H47" s="78"/>
      <c r="I47" s="78"/>
      <c r="J47" s="78"/>
    </row>
    <row r="48" spans="1:59">
      <c r="A48" s="78"/>
      <c r="B48" s="78"/>
      <c r="C48" s="78"/>
      <c r="D48" s="78"/>
      <c r="E48" s="78"/>
      <c r="F48" s="78"/>
      <c r="G48" s="78"/>
      <c r="H48" s="78"/>
      <c r="I48" s="78"/>
      <c r="J48" s="78"/>
    </row>
    <row r="49" spans="1:10">
      <c r="A49" s="78"/>
      <c r="B49" s="78"/>
      <c r="C49" s="78"/>
      <c r="D49" s="78"/>
      <c r="E49" s="78"/>
      <c r="F49" s="78"/>
      <c r="G49" s="78"/>
      <c r="H49" s="78"/>
      <c r="I49" s="78"/>
      <c r="J49" s="78"/>
    </row>
    <row r="50" spans="1:10">
      <c r="A50" s="78"/>
      <c r="B50" s="78"/>
      <c r="C50" s="78"/>
      <c r="D50" s="78"/>
      <c r="E50" s="78"/>
      <c r="F50" s="78"/>
      <c r="G50" s="78"/>
      <c r="H50" s="78"/>
      <c r="I50" s="78"/>
      <c r="J50" s="78"/>
    </row>
    <row r="51" spans="1:10">
      <c r="A51" s="78"/>
      <c r="B51" s="78"/>
      <c r="C51" s="78"/>
      <c r="D51" s="78"/>
      <c r="E51" s="78"/>
      <c r="F51" s="78"/>
      <c r="G51" s="78"/>
      <c r="H51" s="78"/>
      <c r="I51" s="78"/>
      <c r="J51" s="78"/>
    </row>
    <row r="52" spans="1:10">
      <c r="A52" s="78"/>
      <c r="B52" s="78"/>
      <c r="C52" s="78"/>
      <c r="D52" s="78"/>
      <c r="E52" s="78"/>
      <c r="F52" s="78"/>
      <c r="G52" s="78"/>
      <c r="H52" s="78"/>
      <c r="I52" s="78"/>
      <c r="J52" s="78"/>
    </row>
    <row r="53" spans="1:10">
      <c r="A53" s="78"/>
      <c r="B53" s="78"/>
      <c r="C53" s="78"/>
      <c r="D53" s="78"/>
      <c r="E53" s="78"/>
      <c r="F53" s="78"/>
      <c r="G53" s="78"/>
      <c r="H53" s="78"/>
      <c r="I53" s="78"/>
      <c r="J53" s="78"/>
    </row>
    <row r="54" spans="1:10">
      <c r="A54" s="78"/>
      <c r="B54" s="78"/>
      <c r="C54" s="78"/>
      <c r="D54" s="78"/>
      <c r="E54" s="78"/>
      <c r="F54" s="78"/>
      <c r="G54" s="78"/>
      <c r="H54" s="78"/>
      <c r="I54" s="78"/>
      <c r="J54" s="78"/>
    </row>
    <row r="55" spans="1:10">
      <c r="A55" s="78"/>
      <c r="B55" s="78"/>
      <c r="C55" s="78"/>
      <c r="D55" s="78"/>
      <c r="E55" s="78"/>
      <c r="F55" s="78"/>
      <c r="G55" s="78"/>
      <c r="H55" s="78"/>
      <c r="I55" s="78"/>
      <c r="J55" s="78"/>
    </row>
    <row r="56" spans="1:10">
      <c r="A56" s="78"/>
      <c r="B56" s="78"/>
      <c r="C56" s="78"/>
      <c r="D56" s="78"/>
      <c r="E56" s="78"/>
      <c r="F56" s="78"/>
      <c r="G56" s="78"/>
      <c r="H56" s="78"/>
      <c r="I56" s="78"/>
      <c r="J56" s="78"/>
    </row>
    <row r="57" spans="1:10">
      <c r="A57" s="78"/>
      <c r="B57" s="78"/>
      <c r="C57" s="78"/>
      <c r="D57" s="78"/>
      <c r="E57" s="78"/>
      <c r="F57" s="78"/>
      <c r="G57" s="78"/>
      <c r="H57" s="78"/>
      <c r="I57" s="78"/>
      <c r="J57" s="78"/>
    </row>
    <row r="58" spans="1:10">
      <c r="A58" s="78"/>
      <c r="B58" s="78"/>
      <c r="C58" s="78"/>
      <c r="D58" s="78"/>
      <c r="E58" s="78"/>
      <c r="F58" s="78"/>
      <c r="G58" s="78"/>
      <c r="H58" s="78"/>
      <c r="I58" s="78"/>
      <c r="J58" s="78"/>
    </row>
    <row r="59" spans="1:10">
      <c r="A59" s="78"/>
      <c r="B59" s="78"/>
      <c r="C59" s="78"/>
      <c r="D59" s="78"/>
      <c r="E59" s="78"/>
      <c r="F59" s="78"/>
      <c r="G59" s="78"/>
      <c r="H59" s="78"/>
      <c r="I59" s="78"/>
      <c r="J59" s="78"/>
    </row>
    <row r="60" spans="1:10">
      <c r="A60" s="78"/>
      <c r="B60" s="78"/>
      <c r="C60" s="78"/>
      <c r="D60" s="78"/>
      <c r="E60" s="78"/>
      <c r="F60" s="78"/>
      <c r="G60" s="78"/>
      <c r="H60" s="78"/>
      <c r="I60" s="78"/>
      <c r="J60" s="78"/>
    </row>
    <row r="61" spans="1:10">
      <c r="A61" s="78"/>
      <c r="B61" s="78"/>
      <c r="C61" s="78"/>
      <c r="D61" s="78"/>
      <c r="E61" s="78"/>
      <c r="F61" s="78"/>
      <c r="G61" s="78"/>
      <c r="H61" s="78"/>
      <c r="I61" s="78"/>
      <c r="J61" s="78"/>
    </row>
    <row r="62" spans="1:10">
      <c r="A62" s="78"/>
      <c r="B62" s="78"/>
      <c r="C62" s="78"/>
      <c r="D62" s="78"/>
      <c r="E62" s="78"/>
      <c r="F62" s="78"/>
      <c r="G62" s="78"/>
      <c r="H62" s="78"/>
      <c r="I62" s="78"/>
      <c r="J62" s="78"/>
    </row>
    <row r="63" spans="1:10">
      <c r="A63" s="78"/>
      <c r="B63" s="78"/>
      <c r="C63" s="78"/>
      <c r="D63" s="78"/>
      <c r="E63" s="78"/>
      <c r="F63" s="78"/>
      <c r="G63" s="78"/>
      <c r="H63" s="78"/>
      <c r="I63" s="78"/>
      <c r="J63" s="78"/>
    </row>
    <row r="64" spans="1:10">
      <c r="A64" s="78"/>
      <c r="B64" s="78"/>
      <c r="C64" s="78"/>
      <c r="D64" s="78"/>
      <c r="E64" s="78"/>
      <c r="F64" s="78"/>
      <c r="G64" s="78"/>
      <c r="H64" s="78"/>
      <c r="I64" s="78"/>
      <c r="J64" s="78"/>
    </row>
    <row r="65" spans="1:10">
      <c r="A65" s="78"/>
      <c r="B65" s="78"/>
      <c r="C65" s="78"/>
      <c r="D65" s="78"/>
      <c r="E65" s="78"/>
      <c r="F65" s="78"/>
      <c r="G65" s="78"/>
      <c r="H65" s="78"/>
      <c r="I65" s="78"/>
      <c r="J65" s="78"/>
    </row>
    <row r="66" spans="1:10">
      <c r="A66" s="78"/>
      <c r="B66" s="78"/>
      <c r="C66" s="78"/>
      <c r="D66" s="78"/>
      <c r="E66" s="78"/>
      <c r="F66" s="78"/>
      <c r="G66" s="78"/>
      <c r="H66" s="78"/>
      <c r="I66" s="78"/>
      <c r="J66" s="78"/>
    </row>
    <row r="67" spans="1:10">
      <c r="A67" s="78"/>
      <c r="B67" s="78"/>
      <c r="C67" s="78"/>
      <c r="D67" s="78"/>
      <c r="E67" s="78"/>
      <c r="F67" s="78"/>
      <c r="G67" s="78"/>
      <c r="H67" s="78"/>
      <c r="I67" s="78"/>
      <c r="J67" s="78"/>
    </row>
    <row r="68" spans="1:10">
      <c r="A68" s="78"/>
      <c r="B68" s="78"/>
      <c r="C68" s="78"/>
      <c r="D68" s="78"/>
      <c r="E68" s="78"/>
      <c r="F68" s="78"/>
      <c r="G68" s="78"/>
      <c r="H68" s="78"/>
      <c r="I68" s="78"/>
      <c r="J68" s="78"/>
    </row>
    <row r="69" spans="1:10">
      <c r="A69" s="78"/>
      <c r="B69" s="78"/>
      <c r="C69" s="78"/>
      <c r="D69" s="78"/>
      <c r="E69" s="78"/>
      <c r="F69" s="78"/>
      <c r="G69" s="78"/>
      <c r="H69" s="78"/>
      <c r="I69" s="78"/>
      <c r="J69" s="78"/>
    </row>
    <row r="70" spans="1:10">
      <c r="A70" s="78"/>
      <c r="B70" s="78"/>
      <c r="C70" s="78"/>
      <c r="D70" s="78"/>
      <c r="E70" s="78"/>
      <c r="F70" s="78"/>
      <c r="G70" s="78"/>
      <c r="H70" s="78"/>
      <c r="I70" s="78"/>
      <c r="J70" s="78"/>
    </row>
    <row r="71" spans="1:10">
      <c r="A71" s="78"/>
      <c r="B71" s="78"/>
      <c r="C71" s="78"/>
      <c r="D71" s="78"/>
      <c r="E71" s="78"/>
      <c r="F71" s="78"/>
      <c r="G71" s="78"/>
      <c r="H71" s="78"/>
      <c r="I71" s="78"/>
      <c r="J71" s="78"/>
    </row>
    <row r="72" spans="1:10">
      <c r="A72" s="78"/>
      <c r="B72" s="78"/>
      <c r="C72" s="78"/>
      <c r="D72" s="78"/>
      <c r="E72" s="78"/>
      <c r="F72" s="78"/>
      <c r="G72" s="78"/>
      <c r="H72" s="78"/>
      <c r="I72" s="78"/>
      <c r="J72" s="78"/>
    </row>
    <row r="73" spans="1:10">
      <c r="A73" s="78"/>
      <c r="B73" s="78"/>
      <c r="C73" s="78"/>
      <c r="D73" s="78"/>
      <c r="E73" s="78"/>
      <c r="F73" s="78"/>
      <c r="G73" s="78"/>
      <c r="H73" s="78"/>
      <c r="I73" s="78"/>
      <c r="J73" s="78"/>
    </row>
    <row r="74" spans="1:10">
      <c r="A74" s="78"/>
      <c r="B74" s="78"/>
      <c r="C74" s="78"/>
      <c r="D74" s="78"/>
      <c r="E74" s="78"/>
      <c r="F74" s="78"/>
      <c r="G74" s="78"/>
      <c r="H74" s="78"/>
      <c r="I74" s="78"/>
      <c r="J74" s="78"/>
    </row>
    <row r="75" spans="1:10">
      <c r="A75" s="78"/>
      <c r="B75" s="78"/>
      <c r="C75" s="78"/>
      <c r="D75" s="78"/>
      <c r="E75" s="78"/>
      <c r="F75" s="78"/>
      <c r="G75" s="78"/>
      <c r="H75" s="78"/>
      <c r="I75" s="78"/>
      <c r="J75" s="78"/>
    </row>
    <row r="76" spans="1:10">
      <c r="A76" s="78"/>
      <c r="B76" s="78"/>
      <c r="C76" s="78"/>
      <c r="D76" s="78"/>
      <c r="E76" s="78"/>
      <c r="F76" s="78"/>
      <c r="G76" s="78"/>
      <c r="H76" s="78"/>
      <c r="I76" s="78"/>
      <c r="J76" s="78"/>
    </row>
    <row r="77" spans="1:10">
      <c r="A77" s="78"/>
      <c r="B77" s="78"/>
      <c r="C77" s="78"/>
      <c r="D77" s="78"/>
      <c r="E77" s="78"/>
      <c r="F77" s="78"/>
      <c r="G77" s="78"/>
      <c r="H77" s="78"/>
      <c r="I77" s="78"/>
      <c r="J77" s="78"/>
    </row>
    <row r="78" spans="1:10">
      <c r="A78" s="78"/>
      <c r="B78" s="78"/>
      <c r="C78" s="78"/>
      <c r="D78" s="78"/>
      <c r="E78" s="78"/>
      <c r="F78" s="78"/>
      <c r="G78" s="78"/>
      <c r="H78" s="78"/>
      <c r="I78" s="78"/>
      <c r="J78" s="78"/>
    </row>
    <row r="79" spans="1:10">
      <c r="A79" s="78"/>
      <c r="B79" s="78"/>
      <c r="C79" s="78"/>
      <c r="D79" s="78"/>
      <c r="E79" s="78"/>
      <c r="F79" s="78"/>
      <c r="G79" s="78"/>
      <c r="H79" s="78"/>
      <c r="I79" s="78"/>
      <c r="J79" s="78"/>
    </row>
    <row r="80" spans="1:10">
      <c r="A80" s="78"/>
      <c r="B80" s="78"/>
      <c r="C80" s="78"/>
      <c r="D80" s="78"/>
      <c r="E80" s="78"/>
      <c r="F80" s="78"/>
      <c r="G80" s="78"/>
      <c r="H80" s="78"/>
      <c r="I80" s="78"/>
      <c r="J80" s="78"/>
    </row>
    <row r="81" spans="1:10">
      <c r="A81" s="78"/>
      <c r="B81" s="78"/>
      <c r="C81" s="78"/>
      <c r="D81" s="78"/>
      <c r="E81" s="78"/>
      <c r="F81" s="78"/>
      <c r="G81" s="78"/>
      <c r="H81" s="78"/>
      <c r="I81" s="78"/>
      <c r="J81" s="78"/>
    </row>
    <row r="82" spans="1:10">
      <c r="A82" s="78"/>
      <c r="B82" s="78"/>
      <c r="C82" s="78"/>
      <c r="D82" s="78"/>
      <c r="E82" s="78"/>
      <c r="F82" s="78"/>
      <c r="G82" s="78"/>
      <c r="H82" s="78"/>
      <c r="I82" s="78"/>
      <c r="J82" s="78"/>
    </row>
    <row r="83" spans="1:10">
      <c r="A83" s="78"/>
      <c r="B83" s="78"/>
      <c r="C83" s="78"/>
      <c r="D83" s="78"/>
      <c r="E83" s="78"/>
      <c r="F83" s="78"/>
      <c r="G83" s="78"/>
      <c r="H83" s="78"/>
      <c r="I83" s="78"/>
      <c r="J83" s="78"/>
    </row>
    <row r="84" spans="1:10">
      <c r="A84" s="78"/>
      <c r="B84" s="78"/>
      <c r="C84" s="78"/>
      <c r="D84" s="78"/>
      <c r="E84" s="78"/>
      <c r="F84" s="78"/>
      <c r="G84" s="78"/>
      <c r="H84" s="78"/>
      <c r="I84" s="78"/>
      <c r="J84" s="78"/>
    </row>
    <row r="85" spans="1:10">
      <c r="A85" s="78"/>
      <c r="B85" s="78"/>
      <c r="C85" s="78"/>
      <c r="D85" s="78"/>
      <c r="E85" s="78"/>
      <c r="F85" s="78"/>
      <c r="G85" s="78"/>
      <c r="H85" s="78"/>
      <c r="I85" s="78"/>
      <c r="J85" s="78"/>
    </row>
    <row r="86" spans="1:10">
      <c r="A86" s="78"/>
      <c r="B86" s="78"/>
      <c r="C86" s="78"/>
      <c r="D86" s="78"/>
      <c r="E86" s="78"/>
      <c r="F86" s="78"/>
      <c r="G86" s="78"/>
      <c r="H86" s="78"/>
      <c r="I86" s="78"/>
      <c r="J86" s="78"/>
    </row>
    <row r="87" spans="1:10">
      <c r="A87" s="78"/>
      <c r="B87" s="78"/>
      <c r="C87" s="78"/>
      <c r="D87" s="78"/>
      <c r="E87" s="78"/>
      <c r="F87" s="78"/>
      <c r="G87" s="78"/>
      <c r="H87" s="78"/>
      <c r="I87" s="78"/>
      <c r="J87" s="78"/>
    </row>
    <row r="88" spans="1:10">
      <c r="A88" s="78"/>
      <c r="B88" s="78"/>
      <c r="C88" s="78"/>
      <c r="D88" s="78"/>
      <c r="E88" s="78"/>
      <c r="F88" s="78"/>
      <c r="G88" s="78"/>
      <c r="H88" s="78"/>
      <c r="I88" s="78"/>
      <c r="J88" s="78"/>
    </row>
    <row r="89" spans="1:10">
      <c r="A89" s="78"/>
      <c r="B89" s="78"/>
      <c r="C89" s="78"/>
      <c r="D89" s="78"/>
      <c r="E89" s="78"/>
      <c r="F89" s="78"/>
      <c r="G89" s="78"/>
      <c r="H89" s="78"/>
      <c r="I89" s="78"/>
      <c r="J89" s="78"/>
    </row>
    <row r="90" spans="1:10">
      <c r="A90" s="78"/>
      <c r="B90" s="78"/>
      <c r="C90" s="78"/>
      <c r="D90" s="78"/>
      <c r="E90" s="78"/>
      <c r="F90" s="78"/>
      <c r="G90" s="78"/>
      <c r="H90" s="78"/>
      <c r="I90" s="78"/>
      <c r="J90" s="78"/>
    </row>
    <row r="91" spans="1:10">
      <c r="A91" s="78"/>
      <c r="B91" s="78"/>
      <c r="C91" s="78"/>
      <c r="D91" s="78"/>
      <c r="E91" s="78"/>
      <c r="F91" s="78"/>
      <c r="G91" s="78"/>
      <c r="H91" s="78"/>
      <c r="I91" s="78"/>
      <c r="J91" s="78"/>
    </row>
    <row r="92" spans="1:10">
      <c r="A92" s="78"/>
      <c r="B92" s="78"/>
      <c r="C92" s="78"/>
      <c r="D92" s="78"/>
      <c r="E92" s="78"/>
      <c r="F92" s="78"/>
      <c r="G92" s="78"/>
      <c r="H92" s="78"/>
      <c r="I92" s="78"/>
      <c r="J92" s="78"/>
    </row>
    <row r="93" spans="1:10">
      <c r="A93" s="78"/>
      <c r="B93" s="78"/>
      <c r="C93" s="78"/>
      <c r="D93" s="78"/>
      <c r="E93" s="78"/>
      <c r="F93" s="78"/>
      <c r="G93" s="78"/>
      <c r="H93" s="78"/>
      <c r="I93" s="78"/>
      <c r="J93" s="78"/>
    </row>
    <row r="94" spans="1:10">
      <c r="A94" s="78"/>
      <c r="B94" s="78"/>
      <c r="C94" s="78"/>
      <c r="D94" s="78"/>
      <c r="E94" s="78"/>
      <c r="F94" s="78"/>
      <c r="G94" s="78"/>
      <c r="H94" s="78"/>
      <c r="I94" s="78"/>
      <c r="J94" s="78"/>
    </row>
    <row r="95" spans="1:10">
      <c r="A95" s="78"/>
      <c r="B95" s="78"/>
      <c r="C95" s="78"/>
      <c r="D95" s="78"/>
      <c r="E95" s="78"/>
      <c r="F95" s="78"/>
      <c r="G95" s="78"/>
      <c r="H95" s="78"/>
      <c r="I95" s="78"/>
      <c r="J95" s="78"/>
    </row>
    <row r="96" spans="1:10">
      <c r="A96" s="78"/>
      <c r="B96" s="78"/>
      <c r="C96" s="78"/>
      <c r="D96" s="78"/>
      <c r="E96" s="78"/>
      <c r="F96" s="78"/>
      <c r="G96" s="78"/>
      <c r="H96" s="78"/>
      <c r="I96" s="78"/>
      <c r="J96" s="78"/>
    </row>
    <row r="97" spans="1:10">
      <c r="A97" s="78"/>
      <c r="B97" s="78"/>
      <c r="C97" s="78"/>
      <c r="D97" s="78"/>
      <c r="E97" s="78"/>
      <c r="F97" s="78"/>
      <c r="G97" s="78"/>
      <c r="H97" s="78"/>
      <c r="I97" s="78"/>
      <c r="J97" s="78"/>
    </row>
    <row r="98" spans="1:10">
      <c r="A98" s="78"/>
      <c r="B98" s="78"/>
      <c r="C98" s="78"/>
      <c r="D98" s="78"/>
      <c r="E98" s="78"/>
      <c r="F98" s="78"/>
      <c r="G98" s="78"/>
      <c r="H98" s="78"/>
      <c r="I98" s="78"/>
      <c r="J98" s="78"/>
    </row>
    <row r="99" spans="1:10">
      <c r="A99" s="78"/>
      <c r="B99" s="78"/>
      <c r="C99" s="78"/>
      <c r="D99" s="78"/>
      <c r="E99" s="78"/>
      <c r="F99" s="78"/>
      <c r="G99" s="78"/>
      <c r="H99" s="78"/>
      <c r="I99" s="78"/>
      <c r="J99" s="78"/>
    </row>
    <row r="100" spans="1:10">
      <c r="A100" s="78"/>
      <c r="B100" s="78"/>
      <c r="C100" s="78"/>
      <c r="D100" s="78"/>
      <c r="E100" s="78"/>
      <c r="F100" s="78"/>
      <c r="G100" s="78"/>
      <c r="H100" s="78"/>
      <c r="I100" s="78"/>
      <c r="J100" s="78"/>
    </row>
    <row r="101" spans="1:10">
      <c r="A101" s="78"/>
      <c r="B101" s="78"/>
      <c r="C101" s="78"/>
      <c r="D101" s="78"/>
      <c r="E101" s="78"/>
      <c r="F101" s="78"/>
      <c r="G101" s="78"/>
      <c r="H101" s="78"/>
      <c r="I101" s="78"/>
      <c r="J101" s="78"/>
    </row>
    <row r="102" spans="1:10">
      <c r="A102" s="78"/>
      <c r="B102" s="78"/>
      <c r="C102" s="78"/>
      <c r="D102" s="78"/>
      <c r="E102" s="78"/>
      <c r="F102" s="78"/>
      <c r="G102" s="78"/>
      <c r="H102" s="78"/>
      <c r="I102" s="78"/>
      <c r="J102" s="78"/>
    </row>
    <row r="103" spans="1:10">
      <c r="A103" s="78"/>
      <c r="B103" s="78"/>
      <c r="C103" s="78"/>
      <c r="D103" s="78"/>
      <c r="E103" s="78"/>
      <c r="F103" s="78"/>
      <c r="G103" s="78"/>
      <c r="H103" s="78"/>
      <c r="I103" s="78"/>
      <c r="J103" s="78"/>
    </row>
    <row r="104" spans="1:10">
      <c r="A104" s="78"/>
      <c r="B104" s="78"/>
      <c r="C104" s="78"/>
      <c r="D104" s="78"/>
      <c r="E104" s="78"/>
      <c r="F104" s="78"/>
      <c r="G104" s="78"/>
      <c r="H104" s="78"/>
      <c r="I104" s="78"/>
      <c r="J104" s="78"/>
    </row>
    <row r="105" spans="1:10">
      <c r="A105" s="78"/>
      <c r="B105" s="78"/>
      <c r="C105" s="78"/>
      <c r="D105" s="78"/>
      <c r="E105" s="78"/>
      <c r="F105" s="78"/>
      <c r="G105" s="78"/>
      <c r="H105" s="78"/>
      <c r="I105" s="78"/>
      <c r="J105" s="78"/>
    </row>
    <row r="106" spans="1:10">
      <c r="A106" s="78"/>
      <c r="B106" s="78"/>
      <c r="C106" s="78"/>
      <c r="D106" s="78"/>
      <c r="E106" s="78"/>
      <c r="F106" s="78"/>
      <c r="G106" s="78"/>
      <c r="H106" s="78"/>
      <c r="I106" s="78"/>
      <c r="J106" s="78"/>
    </row>
    <row r="107" spans="1:10">
      <c r="A107" s="78"/>
      <c r="B107" s="78"/>
      <c r="C107" s="78"/>
      <c r="D107" s="78"/>
      <c r="E107" s="78"/>
      <c r="F107" s="78"/>
      <c r="G107" s="78"/>
      <c r="H107" s="78"/>
      <c r="I107" s="78"/>
      <c r="J107" s="78"/>
    </row>
    <row r="108" spans="1:10">
      <c r="A108" s="78"/>
      <c r="B108" s="78"/>
      <c r="C108" s="78"/>
      <c r="D108" s="78"/>
      <c r="E108" s="78"/>
      <c r="F108" s="78"/>
      <c r="G108" s="78"/>
      <c r="H108" s="78"/>
      <c r="I108" s="78"/>
      <c r="J108" s="78"/>
    </row>
    <row r="109" spans="1:10">
      <c r="A109" s="78"/>
      <c r="B109" s="78"/>
      <c r="C109" s="78"/>
      <c r="D109" s="78"/>
      <c r="E109" s="78"/>
      <c r="F109" s="78"/>
      <c r="G109" s="78"/>
      <c r="H109" s="78"/>
      <c r="I109" s="78"/>
      <c r="J109" s="78"/>
    </row>
    <row r="110" spans="1:10">
      <c r="A110" s="78"/>
      <c r="B110" s="78"/>
      <c r="C110" s="78"/>
      <c r="D110" s="78"/>
      <c r="E110" s="78"/>
      <c r="F110" s="78"/>
      <c r="G110" s="78"/>
      <c r="H110" s="78"/>
      <c r="I110" s="78"/>
      <c r="J110" s="78"/>
    </row>
    <row r="111" spans="1:10">
      <c r="A111" s="78"/>
      <c r="B111" s="78"/>
      <c r="C111" s="78"/>
      <c r="D111" s="78"/>
      <c r="E111" s="78"/>
      <c r="F111" s="78"/>
      <c r="G111" s="78"/>
      <c r="H111" s="78"/>
      <c r="I111" s="78"/>
      <c r="J111" s="78"/>
    </row>
    <row r="112" spans="1:10">
      <c r="A112" s="78"/>
      <c r="B112" s="78"/>
      <c r="C112" s="78"/>
      <c r="D112" s="78"/>
      <c r="E112" s="78"/>
      <c r="F112" s="78"/>
      <c r="G112" s="78"/>
      <c r="H112" s="78"/>
      <c r="I112" s="78"/>
      <c r="J112" s="78"/>
    </row>
    <row r="113" spans="1:10">
      <c r="A113" s="78"/>
      <c r="B113" s="78"/>
      <c r="C113" s="78"/>
      <c r="D113" s="78"/>
      <c r="E113" s="78"/>
      <c r="F113" s="78"/>
      <c r="G113" s="78"/>
      <c r="H113" s="78"/>
      <c r="I113" s="78"/>
      <c r="J113" s="78"/>
    </row>
    <row r="114" spans="1:10">
      <c r="A114" s="78"/>
      <c r="B114" s="78"/>
      <c r="C114" s="78"/>
      <c r="D114" s="78"/>
      <c r="E114" s="78"/>
      <c r="F114" s="78"/>
      <c r="G114" s="78"/>
      <c r="H114" s="78"/>
      <c r="I114" s="78"/>
      <c r="J114" s="78"/>
    </row>
    <row r="115" spans="1:10">
      <c r="A115" s="78"/>
      <c r="B115" s="78"/>
      <c r="C115" s="78"/>
      <c r="D115" s="78"/>
      <c r="E115" s="78"/>
      <c r="F115" s="78"/>
      <c r="G115" s="78"/>
      <c r="H115" s="78"/>
      <c r="I115" s="78"/>
      <c r="J115" s="78"/>
    </row>
    <row r="116" spans="1:10">
      <c r="A116" s="78"/>
      <c r="B116" s="78"/>
      <c r="C116" s="78"/>
      <c r="D116" s="78"/>
      <c r="E116" s="78"/>
      <c r="F116" s="78"/>
      <c r="G116" s="78"/>
      <c r="H116" s="78"/>
      <c r="I116" s="78"/>
      <c r="J116" s="78"/>
    </row>
    <row r="117" spans="1:10">
      <c r="A117" s="78"/>
      <c r="B117" s="78"/>
      <c r="C117" s="78"/>
      <c r="D117" s="78"/>
      <c r="E117" s="78"/>
      <c r="F117" s="78"/>
      <c r="G117" s="78"/>
      <c r="H117" s="78"/>
      <c r="I117" s="78"/>
      <c r="J117" s="78"/>
    </row>
    <row r="118" spans="1:10">
      <c r="A118" s="78"/>
      <c r="B118" s="78"/>
      <c r="C118" s="78"/>
      <c r="D118" s="78"/>
      <c r="E118" s="78"/>
      <c r="F118" s="78"/>
      <c r="G118" s="78"/>
      <c r="H118" s="78"/>
      <c r="I118" s="78"/>
      <c r="J118" s="78"/>
    </row>
    <row r="119" spans="1:10">
      <c r="A119" s="78"/>
      <c r="B119" s="78"/>
      <c r="C119" s="78"/>
      <c r="D119" s="78"/>
      <c r="E119" s="78"/>
      <c r="F119" s="78"/>
      <c r="G119" s="78"/>
      <c r="H119" s="78"/>
      <c r="I119" s="78"/>
      <c r="J119" s="78"/>
    </row>
    <row r="120" spans="1:10">
      <c r="A120" s="78"/>
      <c r="B120" s="78"/>
      <c r="C120" s="78"/>
      <c r="D120" s="78"/>
      <c r="E120" s="78"/>
      <c r="F120" s="78"/>
      <c r="G120" s="78"/>
      <c r="H120" s="78"/>
      <c r="I120" s="78"/>
      <c r="J120" s="78"/>
    </row>
    <row r="121" spans="1:10">
      <c r="A121" s="78"/>
      <c r="B121" s="78"/>
      <c r="C121" s="78"/>
      <c r="D121" s="78"/>
      <c r="E121" s="78"/>
      <c r="F121" s="78"/>
      <c r="G121" s="78"/>
      <c r="H121" s="78"/>
      <c r="I121" s="78"/>
      <c r="J121" s="78"/>
    </row>
    <row r="122" spans="1:10">
      <c r="A122" s="78"/>
      <c r="B122" s="78"/>
      <c r="C122" s="78"/>
      <c r="D122" s="78"/>
      <c r="E122" s="78"/>
      <c r="F122" s="78"/>
      <c r="G122" s="78"/>
      <c r="H122" s="78"/>
      <c r="I122" s="78"/>
      <c r="J122" s="78"/>
    </row>
    <row r="123" spans="1:10">
      <c r="A123" s="78"/>
      <c r="B123" s="78"/>
      <c r="C123" s="78"/>
      <c r="D123" s="78"/>
      <c r="E123" s="78"/>
      <c r="F123" s="78"/>
      <c r="G123" s="78"/>
      <c r="H123" s="78"/>
      <c r="I123" s="78"/>
      <c r="J123" s="78"/>
    </row>
    <row r="124" spans="1:10">
      <c r="A124" s="78"/>
      <c r="B124" s="78"/>
      <c r="C124" s="78"/>
      <c r="D124" s="78"/>
      <c r="E124" s="78"/>
      <c r="F124" s="78"/>
      <c r="G124" s="78"/>
      <c r="H124" s="78"/>
      <c r="I124" s="78"/>
      <c r="J124" s="78"/>
    </row>
    <row r="125" spans="1:10">
      <c r="A125" s="78"/>
      <c r="B125" s="78"/>
      <c r="C125" s="78"/>
      <c r="D125" s="78"/>
      <c r="E125" s="78"/>
      <c r="F125" s="78"/>
      <c r="G125" s="78"/>
      <c r="H125" s="78"/>
      <c r="I125" s="78"/>
      <c r="J125" s="78"/>
    </row>
    <row r="126" spans="1:10">
      <c r="A126" s="78"/>
      <c r="B126" s="78"/>
      <c r="C126" s="78"/>
      <c r="D126" s="78"/>
      <c r="E126" s="78"/>
      <c r="F126" s="78"/>
      <c r="G126" s="78"/>
      <c r="H126" s="78"/>
      <c r="I126" s="78"/>
      <c r="J126" s="78"/>
    </row>
    <row r="127" spans="1:10">
      <c r="A127" s="78"/>
      <c r="B127" s="78"/>
      <c r="C127" s="78"/>
      <c r="D127" s="78"/>
      <c r="E127" s="78"/>
      <c r="F127" s="78"/>
      <c r="G127" s="78"/>
      <c r="H127" s="78"/>
      <c r="I127" s="78"/>
      <c r="J127" s="78"/>
    </row>
    <row r="128" spans="1:10">
      <c r="A128" s="78"/>
      <c r="B128" s="78"/>
      <c r="C128" s="78"/>
      <c r="D128" s="78"/>
      <c r="E128" s="78"/>
      <c r="F128" s="78"/>
      <c r="G128" s="78"/>
      <c r="H128" s="78"/>
      <c r="I128" s="78"/>
      <c r="J128" s="78"/>
    </row>
    <row r="129" s="78" customFormat="1"/>
    <row r="130" s="78" customFormat="1"/>
    <row r="131" s="78" customFormat="1"/>
    <row r="132" s="78" customFormat="1"/>
    <row r="133" s="78" customFormat="1"/>
    <row r="134" s="78" customFormat="1"/>
    <row r="135" s="78" customFormat="1"/>
    <row r="136" s="78" customFormat="1"/>
    <row r="137" s="78" customFormat="1"/>
    <row r="138" s="78" customFormat="1"/>
    <row r="139" s="78" customFormat="1"/>
    <row r="140" s="78" customFormat="1"/>
    <row r="141" s="78" customFormat="1"/>
    <row r="142" s="78" customFormat="1"/>
    <row r="143" s="78" customFormat="1"/>
    <row r="144" s="78" customFormat="1"/>
    <row r="145" s="78" customFormat="1"/>
    <row r="146" s="78" customFormat="1"/>
    <row r="147" s="78" customFormat="1"/>
    <row r="148" s="78" customFormat="1"/>
    <row r="149" s="78" customFormat="1"/>
    <row r="150" s="78" customFormat="1"/>
    <row r="151" s="78" customFormat="1"/>
    <row r="152" s="78" customFormat="1"/>
    <row r="153" s="78" customFormat="1"/>
    <row r="154" s="78" customFormat="1"/>
    <row r="155" s="78" customFormat="1"/>
    <row r="156" s="78" customFormat="1"/>
    <row r="157" s="78" customFormat="1"/>
    <row r="158" s="78" customFormat="1"/>
    <row r="159" s="78" customFormat="1"/>
    <row r="160" s="78" customFormat="1"/>
    <row r="161" s="78" customFormat="1"/>
    <row r="162" s="78" customFormat="1"/>
    <row r="163" s="78" customFormat="1"/>
    <row r="164" s="78" customFormat="1"/>
    <row r="165" s="78" customFormat="1"/>
    <row r="166" s="78" customFormat="1"/>
    <row r="167" s="78" customFormat="1"/>
    <row r="168" s="78" customFormat="1"/>
    <row r="169" s="78" customFormat="1"/>
    <row r="170" s="78" customFormat="1"/>
    <row r="171" s="78" customFormat="1"/>
    <row r="172" s="78" customFormat="1"/>
    <row r="173" s="78" customFormat="1"/>
    <row r="174" s="78" customFormat="1"/>
    <row r="175" s="78" customFormat="1"/>
    <row r="176" s="78" customFormat="1"/>
    <row r="177" s="78" customFormat="1"/>
    <row r="178" s="78" customFormat="1"/>
    <row r="179" s="78" customFormat="1"/>
    <row r="180" s="78" customFormat="1"/>
    <row r="181" s="78" customFormat="1"/>
    <row r="182" s="78" customFormat="1"/>
    <row r="183" s="78" customFormat="1"/>
    <row r="184" s="78" customFormat="1"/>
    <row r="185" s="78" customFormat="1"/>
    <row r="186" s="78" customFormat="1"/>
    <row r="187" s="78" customFormat="1"/>
    <row r="188" s="78" customFormat="1"/>
    <row r="189" s="78" customFormat="1"/>
    <row r="190" s="78" customFormat="1"/>
    <row r="191" s="78" customFormat="1"/>
    <row r="192" s="78" customFormat="1"/>
    <row r="193" s="78" customFormat="1"/>
    <row r="194" s="78" customFormat="1"/>
    <row r="195" s="78" customFormat="1"/>
    <row r="196" s="78" customFormat="1"/>
    <row r="197" s="78" customFormat="1"/>
    <row r="198" s="78" customFormat="1"/>
    <row r="199" s="78" customFormat="1"/>
    <row r="200" s="78" customFormat="1"/>
    <row r="201" s="78" customFormat="1"/>
    <row r="202" s="78" customFormat="1"/>
    <row r="203" s="78" customFormat="1"/>
    <row r="204" s="78" customFormat="1"/>
    <row r="205" s="78" customFormat="1"/>
    <row r="206" s="78" customFormat="1"/>
    <row r="207" s="78" customFormat="1"/>
    <row r="208" s="78" customFormat="1"/>
    <row r="209" s="78" customFormat="1"/>
    <row r="210" s="78" customFormat="1"/>
    <row r="211" s="78" customFormat="1"/>
    <row r="212" s="78" customFormat="1"/>
    <row r="213" s="78" customFormat="1"/>
    <row r="214" s="78" customFormat="1"/>
    <row r="215" s="78" customFormat="1"/>
    <row r="216" s="78" customFormat="1"/>
    <row r="217" s="78" customFormat="1"/>
    <row r="218" s="78" customFormat="1"/>
    <row r="219" s="78" customFormat="1"/>
    <row r="220" s="78" customFormat="1"/>
    <row r="221" s="78" customFormat="1"/>
    <row r="222" s="78" customFormat="1"/>
    <row r="223" s="78" customFormat="1"/>
  </sheetData>
  <sheetProtection algorithmName="SHA-512" hashValue="AmOObcMnnACNVWvj/6d/49BJM0sFq+k2BTVpza1xZ4LE0+F3towW6MpOArgsObqDf1kTmhxl8CdmGH0UAvFzEw==" saltValue="niG31lXXdK+Fj51Ca10cAg==" spinCount="100000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A21:J21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8:J8"/>
    <mergeCell ref="A9:F9"/>
    <mergeCell ref="B10:F10"/>
    <mergeCell ref="A5:J5"/>
    <mergeCell ref="A6:J6"/>
    <mergeCell ref="G16:H16"/>
    <mergeCell ref="I16:J16"/>
    <mergeCell ref="A20:J20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125"/>
  <sheetViews>
    <sheetView workbookViewId="0">
      <selection activeCell="F13" sqref="F13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8"/>
  </cols>
  <sheetData>
    <row r="1" spans="1:60" s="146" customFormat="1" ht="16.5" thickBot="1">
      <c r="A1" s="1382" t="s">
        <v>95</v>
      </c>
      <c r="B1" s="789"/>
      <c r="C1" s="789"/>
      <c r="D1" s="1478" t="s">
        <v>37</v>
      </c>
      <c r="E1" s="1525"/>
      <c r="F1" s="1352"/>
      <c r="G1" s="176" t="str">
        <f>+'2Př'!I1</f>
        <v/>
      </c>
      <c r="H1" s="78"/>
      <c r="I1" s="78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</row>
    <row r="2" spans="1:60" s="90" customFormat="1" ht="24" customHeight="1">
      <c r="A2" s="1381" t="s">
        <v>3859</v>
      </c>
      <c r="B2" s="1381"/>
      <c r="C2" s="1381"/>
      <c r="D2" s="1381"/>
      <c r="E2" s="1381"/>
      <c r="F2" s="1381"/>
      <c r="G2" s="120"/>
      <c r="H2" s="78"/>
      <c r="I2" s="78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</row>
    <row r="3" spans="1:60" s="90" customFormat="1" ht="36" customHeight="1">
      <c r="A3" s="1372" t="s">
        <v>171</v>
      </c>
      <c r="B3" s="827"/>
      <c r="C3" s="827"/>
      <c r="D3" s="827"/>
      <c r="E3" s="827"/>
      <c r="F3" s="827"/>
      <c r="G3" s="827"/>
      <c r="H3" s="78"/>
      <c r="I3" s="78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</row>
    <row r="4" spans="1:60" s="146" customFormat="1" ht="24" customHeight="1">
      <c r="A4" s="1526" t="s">
        <v>3526</v>
      </c>
      <c r="B4" s="1458"/>
      <c r="C4" s="1458"/>
      <c r="D4" s="1458"/>
      <c r="E4" s="1458"/>
      <c r="F4" s="1458"/>
      <c r="G4" s="1458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</row>
    <row r="5" spans="1:60" s="637" customFormat="1" ht="24" customHeight="1" thickBot="1">
      <c r="A5" s="1542" t="s">
        <v>3864</v>
      </c>
      <c r="B5" s="1319"/>
      <c r="C5" s="1319"/>
      <c r="D5" s="1319"/>
      <c r="E5" s="1319"/>
      <c r="F5" s="1319"/>
      <c r="G5" s="1319"/>
      <c r="H5" s="641"/>
      <c r="I5" s="641"/>
      <c r="J5" s="641"/>
      <c r="K5" s="641"/>
      <c r="L5" s="641"/>
      <c r="M5" s="641"/>
      <c r="N5" s="641"/>
      <c r="O5" s="641"/>
      <c r="P5" s="641"/>
      <c r="Q5" s="641"/>
      <c r="R5" s="641"/>
      <c r="S5" s="641"/>
      <c r="T5" s="641"/>
      <c r="U5" s="641"/>
      <c r="V5" s="641"/>
      <c r="W5" s="641"/>
      <c r="X5" s="641"/>
      <c r="Y5" s="641"/>
      <c r="Z5" s="641"/>
      <c r="AA5" s="641"/>
      <c r="AB5" s="641"/>
      <c r="AC5" s="641"/>
      <c r="AD5" s="641"/>
      <c r="AE5" s="641"/>
      <c r="AF5" s="641"/>
      <c r="AG5" s="641"/>
      <c r="AH5" s="641"/>
      <c r="AI5" s="641"/>
      <c r="AJ5" s="641"/>
      <c r="AK5" s="641"/>
      <c r="AL5" s="641"/>
      <c r="AM5" s="641"/>
      <c r="AN5" s="641"/>
      <c r="AO5" s="641"/>
      <c r="AP5" s="641"/>
      <c r="AQ5" s="641"/>
      <c r="AR5" s="641"/>
      <c r="AS5" s="641"/>
      <c r="AT5" s="641"/>
      <c r="AU5" s="641"/>
      <c r="AV5" s="641"/>
      <c r="AW5" s="641"/>
      <c r="AX5" s="641"/>
      <c r="AY5" s="641"/>
      <c r="AZ5" s="641"/>
      <c r="BA5" s="641"/>
      <c r="BB5" s="641"/>
      <c r="BC5" s="641"/>
      <c r="BD5" s="641"/>
      <c r="BE5" s="641"/>
      <c r="BF5" s="641"/>
      <c r="BG5" s="641"/>
      <c r="BH5" s="641"/>
    </row>
    <row r="6" spans="1:60" s="637" customFormat="1" ht="15" customHeight="1">
      <c r="A6" s="1543"/>
      <c r="B6" s="1544"/>
      <c r="C6" s="1544"/>
      <c r="D6" s="1544"/>
      <c r="E6" s="1544"/>
      <c r="F6" s="1547" t="s">
        <v>261</v>
      </c>
      <c r="G6" s="1548"/>
      <c r="H6" s="641"/>
      <c r="I6" s="641"/>
      <c r="J6" s="641"/>
      <c r="K6" s="641"/>
      <c r="L6" s="641"/>
      <c r="M6" s="641"/>
      <c r="N6" s="641"/>
      <c r="O6" s="641"/>
      <c r="P6" s="641"/>
      <c r="Q6" s="641"/>
      <c r="R6" s="641"/>
      <c r="S6" s="641"/>
      <c r="T6" s="641"/>
      <c r="U6" s="641"/>
      <c r="V6" s="641"/>
      <c r="W6" s="641"/>
      <c r="X6" s="641"/>
      <c r="Y6" s="641"/>
      <c r="Z6" s="641"/>
      <c r="AA6" s="641"/>
      <c r="AB6" s="641"/>
      <c r="AC6" s="641"/>
      <c r="AD6" s="641"/>
      <c r="AE6" s="641"/>
      <c r="AF6" s="641"/>
      <c r="AG6" s="641"/>
      <c r="AH6" s="641"/>
      <c r="AI6" s="641"/>
      <c r="AJ6" s="641"/>
      <c r="AK6" s="641"/>
      <c r="AL6" s="641"/>
      <c r="AM6" s="641"/>
      <c r="AN6" s="641"/>
      <c r="AO6" s="641"/>
      <c r="AP6" s="641"/>
      <c r="AQ6" s="641"/>
      <c r="AR6" s="641"/>
      <c r="AS6" s="641"/>
      <c r="AT6" s="641"/>
      <c r="AU6" s="641"/>
      <c r="AV6" s="641"/>
      <c r="AW6" s="641"/>
      <c r="AX6" s="641"/>
      <c r="AY6" s="641"/>
      <c r="AZ6" s="641"/>
      <c r="BA6" s="641"/>
      <c r="BB6" s="641"/>
      <c r="BC6" s="641"/>
      <c r="BD6" s="641"/>
      <c r="BE6" s="641"/>
      <c r="BF6" s="641"/>
      <c r="BG6" s="641"/>
      <c r="BH6" s="641"/>
    </row>
    <row r="7" spans="1:60" s="637" customFormat="1" ht="15" customHeight="1">
      <c r="A7" s="1545"/>
      <c r="B7" s="1546"/>
      <c r="C7" s="1546"/>
      <c r="D7" s="1546"/>
      <c r="E7" s="1546"/>
      <c r="F7" s="649" t="s">
        <v>149</v>
      </c>
      <c r="G7" s="650" t="s">
        <v>157</v>
      </c>
      <c r="H7" s="641"/>
      <c r="I7" s="641"/>
      <c r="J7" s="641"/>
      <c r="K7" s="641"/>
      <c r="L7" s="641"/>
      <c r="M7" s="641"/>
      <c r="N7" s="641"/>
      <c r="O7" s="641"/>
      <c r="P7" s="641"/>
      <c r="Q7" s="641"/>
      <c r="R7" s="641"/>
      <c r="S7" s="641"/>
      <c r="T7" s="641"/>
      <c r="U7" s="641"/>
      <c r="V7" s="641"/>
      <c r="W7" s="641"/>
      <c r="X7" s="641"/>
      <c r="Y7" s="641"/>
      <c r="Z7" s="641"/>
      <c r="AA7" s="641"/>
      <c r="AB7" s="641"/>
      <c r="AC7" s="641"/>
      <c r="AD7" s="641"/>
      <c r="AE7" s="641"/>
      <c r="AF7" s="641"/>
      <c r="AG7" s="641"/>
      <c r="AH7" s="641"/>
      <c r="AI7" s="641"/>
      <c r="AJ7" s="641"/>
      <c r="AK7" s="641"/>
      <c r="AL7" s="641"/>
      <c r="AM7" s="641"/>
      <c r="AN7" s="641"/>
      <c r="AO7" s="641"/>
      <c r="AP7" s="641"/>
      <c r="AQ7" s="641"/>
      <c r="AR7" s="641"/>
      <c r="AS7" s="641"/>
      <c r="AT7" s="641"/>
      <c r="AU7" s="641"/>
      <c r="AV7" s="641"/>
      <c r="AW7" s="641"/>
      <c r="AX7" s="641"/>
      <c r="AY7" s="641"/>
      <c r="AZ7" s="641"/>
      <c r="BA7" s="641"/>
      <c r="BB7" s="641"/>
      <c r="BC7" s="641"/>
      <c r="BD7" s="641"/>
      <c r="BE7" s="641"/>
      <c r="BF7" s="641"/>
      <c r="BG7" s="641"/>
      <c r="BH7" s="641"/>
    </row>
    <row r="8" spans="1:60" s="637" customFormat="1" ht="24" customHeight="1">
      <c r="A8" s="651">
        <v>311</v>
      </c>
      <c r="B8" s="1531" t="s">
        <v>3865</v>
      </c>
      <c r="C8" s="1531"/>
      <c r="D8" s="1531"/>
      <c r="E8" s="1532"/>
      <c r="F8" s="113">
        <f>+'DAP2'!E7-'DAP2'!E8</f>
        <v>0</v>
      </c>
      <c r="G8" s="652"/>
      <c r="H8" s="641"/>
      <c r="I8" s="641"/>
      <c r="J8" s="641"/>
      <c r="K8" s="641"/>
      <c r="L8" s="641"/>
      <c r="M8" s="641"/>
      <c r="N8" s="641"/>
      <c r="O8" s="641"/>
      <c r="P8" s="641"/>
      <c r="Q8" s="641"/>
      <c r="R8" s="641"/>
      <c r="S8" s="641"/>
      <c r="T8" s="641"/>
      <c r="U8" s="641"/>
      <c r="V8" s="641"/>
      <c r="W8" s="641"/>
      <c r="X8" s="641"/>
      <c r="Y8" s="641"/>
      <c r="Z8" s="641"/>
      <c r="AA8" s="641"/>
      <c r="AB8" s="641"/>
      <c r="AC8" s="641"/>
      <c r="AD8" s="641"/>
      <c r="AE8" s="641"/>
      <c r="AF8" s="641"/>
      <c r="AG8" s="641"/>
      <c r="AH8" s="641"/>
      <c r="AI8" s="641"/>
      <c r="AJ8" s="641"/>
      <c r="AK8" s="641"/>
      <c r="AL8" s="641"/>
      <c r="AM8" s="641"/>
      <c r="AN8" s="641"/>
      <c r="AO8" s="641"/>
      <c r="AP8" s="641"/>
      <c r="AQ8" s="641"/>
      <c r="AR8" s="641"/>
      <c r="AS8" s="641"/>
      <c r="AT8" s="641"/>
      <c r="AU8" s="641"/>
      <c r="AV8" s="641"/>
      <c r="AW8" s="641"/>
      <c r="AX8" s="641"/>
      <c r="AY8" s="641"/>
      <c r="AZ8" s="641"/>
      <c r="BA8" s="641"/>
      <c r="BB8" s="641"/>
      <c r="BC8" s="641"/>
      <c r="BD8" s="641"/>
      <c r="BE8" s="641"/>
      <c r="BF8" s="641"/>
      <c r="BG8" s="641"/>
      <c r="BH8" s="641"/>
    </row>
    <row r="9" spans="1:60" s="637" customFormat="1" ht="24" customHeight="1">
      <c r="A9" s="651">
        <v>312</v>
      </c>
      <c r="B9" s="1531" t="s">
        <v>3866</v>
      </c>
      <c r="C9" s="1531"/>
      <c r="D9" s="1531"/>
      <c r="E9" s="1532"/>
      <c r="F9" s="113">
        <f>+'DAP2'!E11+'DAP2'!E12+'DAP2'!E13+'DAP2'!E14</f>
        <v>0</v>
      </c>
      <c r="G9" s="652"/>
      <c r="H9" s="641"/>
      <c r="I9" s="641"/>
      <c r="J9" s="641"/>
      <c r="K9" s="641"/>
      <c r="L9" s="641"/>
      <c r="M9" s="641"/>
      <c r="N9" s="641"/>
      <c r="O9" s="641"/>
      <c r="P9" s="641"/>
      <c r="Q9" s="641"/>
      <c r="R9" s="641"/>
      <c r="S9" s="641"/>
      <c r="T9" s="641"/>
      <c r="U9" s="641"/>
      <c r="V9" s="641"/>
      <c r="W9" s="641"/>
      <c r="X9" s="641"/>
      <c r="Y9" s="641"/>
      <c r="Z9" s="641"/>
      <c r="AA9" s="641"/>
      <c r="AB9" s="641"/>
      <c r="AC9" s="641"/>
      <c r="AD9" s="641"/>
      <c r="AE9" s="641"/>
      <c r="AF9" s="641"/>
      <c r="AG9" s="641"/>
      <c r="AH9" s="641"/>
      <c r="AI9" s="641"/>
      <c r="AJ9" s="641"/>
      <c r="AK9" s="641"/>
      <c r="AL9" s="641"/>
      <c r="AM9" s="641"/>
      <c r="AN9" s="641"/>
      <c r="AO9" s="641"/>
      <c r="AP9" s="641"/>
      <c r="AQ9" s="641"/>
      <c r="AR9" s="641"/>
      <c r="AS9" s="641"/>
      <c r="AT9" s="641"/>
      <c r="AU9" s="641"/>
      <c r="AV9" s="641"/>
      <c r="AW9" s="641"/>
      <c r="AX9" s="641"/>
      <c r="AY9" s="641"/>
      <c r="AZ9" s="641"/>
      <c r="BA9" s="641"/>
      <c r="BB9" s="641"/>
      <c r="BC9" s="641"/>
      <c r="BD9" s="641"/>
      <c r="BE9" s="641"/>
      <c r="BF9" s="641"/>
      <c r="BG9" s="641"/>
      <c r="BH9" s="641"/>
    </row>
    <row r="10" spans="1:60" s="637" customFormat="1" ht="24" customHeight="1">
      <c r="A10" s="651">
        <v>313</v>
      </c>
      <c r="B10" s="1531" t="s">
        <v>3867</v>
      </c>
      <c r="C10" s="1531"/>
      <c r="D10" s="1531"/>
      <c r="E10" s="1532"/>
      <c r="F10" s="653">
        <f>+F8+MAX(F9,0)</f>
        <v>0</v>
      </c>
      <c r="G10" s="652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  <c r="AJ10" s="641"/>
      <c r="AK10" s="641"/>
      <c r="AL10" s="641"/>
      <c r="AM10" s="641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1"/>
      <c r="AY10" s="641"/>
      <c r="AZ10" s="641"/>
      <c r="BA10" s="641"/>
      <c r="BB10" s="641"/>
      <c r="BC10" s="641"/>
      <c r="BD10" s="641"/>
      <c r="BE10" s="641"/>
      <c r="BF10" s="641"/>
      <c r="BG10" s="641"/>
      <c r="BH10" s="641"/>
    </row>
    <row r="11" spans="1:60" s="637" customFormat="1" ht="33.950000000000003" customHeight="1">
      <c r="A11" s="651">
        <v>314</v>
      </c>
      <c r="B11" s="1531" t="s">
        <v>3868</v>
      </c>
      <c r="C11" s="1531"/>
      <c r="D11" s="1531"/>
      <c r="E11" s="1532"/>
      <c r="F11" s="653">
        <f>IF(F10=0,0,FLOOR(+F10-'DAP2'!E18-'DAP2'!F31,100))</f>
        <v>0</v>
      </c>
      <c r="G11" s="652"/>
      <c r="H11" s="641"/>
      <c r="I11" s="641"/>
      <c r="J11" s="641"/>
      <c r="K11" s="641"/>
      <c r="L11" s="641"/>
      <c r="M11" s="641"/>
      <c r="N11" s="641"/>
      <c r="O11" s="641"/>
      <c r="P11" s="641"/>
      <c r="Q11" s="641"/>
      <c r="R11" s="641"/>
      <c r="S11" s="641"/>
      <c r="T11" s="641"/>
      <c r="U11" s="641"/>
      <c r="V11" s="641"/>
      <c r="W11" s="641"/>
      <c r="X11" s="641"/>
      <c r="Y11" s="641"/>
      <c r="Z11" s="641"/>
      <c r="AA11" s="641"/>
      <c r="AB11" s="641"/>
      <c r="AC11" s="641"/>
      <c r="AD11" s="641"/>
      <c r="AE11" s="641"/>
      <c r="AF11" s="641"/>
      <c r="AG11" s="641"/>
      <c r="AH11" s="641"/>
      <c r="AI11" s="641"/>
      <c r="AJ11" s="641"/>
      <c r="AK11" s="641"/>
      <c r="AL11" s="641"/>
      <c r="AM11" s="641"/>
      <c r="AN11" s="641"/>
      <c r="AO11" s="641"/>
      <c r="AP11" s="641"/>
      <c r="AQ11" s="641"/>
      <c r="AR11" s="641"/>
      <c r="AS11" s="641"/>
      <c r="AT11" s="641"/>
      <c r="AU11" s="641"/>
      <c r="AV11" s="641"/>
      <c r="AW11" s="641"/>
      <c r="AX11" s="641"/>
      <c r="AY11" s="641"/>
      <c r="AZ11" s="641"/>
      <c r="BA11" s="641"/>
      <c r="BB11" s="641"/>
      <c r="BC11" s="641"/>
      <c r="BD11" s="641"/>
      <c r="BE11" s="641"/>
      <c r="BF11" s="641"/>
      <c r="BG11" s="641"/>
      <c r="BH11" s="641"/>
    </row>
    <row r="12" spans="1:60" s="637" customFormat="1" ht="24" customHeight="1" thickBot="1">
      <c r="A12" s="651">
        <v>315</v>
      </c>
      <c r="B12" s="1531" t="s">
        <v>3869</v>
      </c>
      <c r="C12" s="1531"/>
      <c r="D12" s="1531"/>
      <c r="E12" s="1532"/>
      <c r="F12" s="654">
        <f>ROUND(IF(F11=0,0,+'DAP2'!F34/'DAP2'!F33),4)</f>
        <v>0</v>
      </c>
      <c r="G12" s="652"/>
      <c r="H12" s="641"/>
      <c r="I12" s="641"/>
      <c r="J12" s="641"/>
      <c r="K12" s="641"/>
      <c r="L12" s="641"/>
      <c r="M12" s="641"/>
      <c r="N12" s="641"/>
      <c r="O12" s="641"/>
      <c r="P12" s="641"/>
      <c r="Q12" s="641"/>
      <c r="R12" s="641"/>
      <c r="S12" s="641"/>
      <c r="T12" s="641"/>
      <c r="U12" s="641"/>
      <c r="V12" s="641"/>
      <c r="W12" s="641"/>
      <c r="X12" s="641"/>
      <c r="Y12" s="641"/>
      <c r="Z12" s="641"/>
      <c r="AA12" s="641"/>
      <c r="AB12" s="641"/>
      <c r="AC12" s="641"/>
      <c r="AD12" s="641"/>
      <c r="AE12" s="641"/>
      <c r="AF12" s="641"/>
      <c r="AG12" s="641"/>
      <c r="AH12" s="641"/>
      <c r="AI12" s="641"/>
      <c r="AJ12" s="641"/>
      <c r="AK12" s="641"/>
      <c r="AL12" s="641"/>
      <c r="AM12" s="641"/>
      <c r="AN12" s="641"/>
      <c r="AO12" s="641"/>
      <c r="AP12" s="641"/>
      <c r="AQ12" s="641"/>
      <c r="AR12" s="641"/>
      <c r="AS12" s="641"/>
      <c r="AT12" s="641"/>
      <c r="AU12" s="641"/>
      <c r="AV12" s="641"/>
      <c r="AW12" s="641"/>
      <c r="AX12" s="641"/>
      <c r="AY12" s="641"/>
      <c r="AZ12" s="641"/>
      <c r="BA12" s="641"/>
      <c r="BB12" s="641"/>
      <c r="BC12" s="641"/>
      <c r="BD12" s="641"/>
      <c r="BE12" s="641"/>
      <c r="BF12" s="641"/>
      <c r="BG12" s="641"/>
      <c r="BH12" s="641"/>
    </row>
    <row r="13" spans="1:60" s="637" customFormat="1" ht="24" customHeight="1" thickBot="1">
      <c r="A13" s="655">
        <v>316</v>
      </c>
      <c r="B13" s="1540" t="s">
        <v>3870</v>
      </c>
      <c r="C13" s="1540"/>
      <c r="D13" s="1540"/>
      <c r="E13" s="1541"/>
      <c r="F13" s="656">
        <f>+F11*F12</f>
        <v>0</v>
      </c>
      <c r="G13" s="657"/>
      <c r="H13" s="641"/>
      <c r="I13" s="641"/>
      <c r="J13" s="641"/>
      <c r="K13" s="641"/>
      <c r="L13" s="641"/>
      <c r="M13" s="641"/>
      <c r="N13" s="641"/>
      <c r="O13" s="641"/>
      <c r="P13" s="641"/>
      <c r="Q13" s="641"/>
      <c r="R13" s="641"/>
      <c r="S13" s="641"/>
      <c r="T13" s="641"/>
      <c r="U13" s="641"/>
      <c r="V13" s="641"/>
      <c r="W13" s="641"/>
      <c r="X13" s="641"/>
      <c r="Y13" s="641"/>
      <c r="Z13" s="641"/>
      <c r="AA13" s="641"/>
      <c r="AB13" s="641"/>
      <c r="AC13" s="641"/>
      <c r="AD13" s="641"/>
      <c r="AE13" s="641"/>
      <c r="AF13" s="641"/>
      <c r="AG13" s="641"/>
      <c r="AH13" s="641"/>
      <c r="AI13" s="641"/>
      <c r="AJ13" s="641"/>
      <c r="AK13" s="641"/>
      <c r="AL13" s="641"/>
      <c r="AM13" s="641"/>
      <c r="AN13" s="641"/>
      <c r="AO13" s="641"/>
      <c r="AP13" s="641"/>
      <c r="AQ13" s="641"/>
      <c r="AR13" s="641"/>
      <c r="AS13" s="641"/>
      <c r="AT13" s="641"/>
      <c r="AU13" s="641"/>
      <c r="AV13" s="641"/>
      <c r="AW13" s="641"/>
      <c r="AX13" s="641"/>
      <c r="AY13" s="641"/>
      <c r="AZ13" s="641"/>
      <c r="BA13" s="641"/>
      <c r="BB13" s="641"/>
      <c r="BC13" s="641"/>
      <c r="BD13" s="641"/>
      <c r="BE13" s="641"/>
      <c r="BF13" s="641"/>
      <c r="BG13" s="641"/>
      <c r="BH13" s="641"/>
    </row>
    <row r="14" spans="1:60" s="637" customFormat="1" ht="15" customHeight="1">
      <c r="A14" s="1542"/>
      <c r="B14" s="1319"/>
      <c r="C14" s="1319"/>
      <c r="D14" s="1319"/>
      <c r="E14" s="1319"/>
      <c r="F14" s="1319"/>
      <c r="G14" s="1319"/>
      <c r="H14" s="641"/>
      <c r="I14" s="641"/>
      <c r="J14" s="641"/>
      <c r="K14" s="641"/>
      <c r="L14" s="641"/>
      <c r="M14" s="641"/>
      <c r="N14" s="641"/>
      <c r="O14" s="641"/>
      <c r="P14" s="641"/>
      <c r="Q14" s="641"/>
      <c r="R14" s="641"/>
      <c r="S14" s="641"/>
      <c r="T14" s="641"/>
      <c r="U14" s="641"/>
      <c r="V14" s="641"/>
      <c r="W14" s="641"/>
      <c r="X14" s="641"/>
      <c r="Y14" s="641"/>
      <c r="Z14" s="641"/>
      <c r="AA14" s="641"/>
      <c r="AB14" s="641"/>
      <c r="AC14" s="641"/>
      <c r="AD14" s="641"/>
      <c r="AE14" s="641"/>
      <c r="AF14" s="641"/>
      <c r="AG14" s="641"/>
      <c r="AH14" s="641"/>
      <c r="AI14" s="641"/>
      <c r="AJ14" s="641"/>
      <c r="AK14" s="641"/>
      <c r="AL14" s="641"/>
      <c r="AM14" s="641"/>
      <c r="AN14" s="641"/>
      <c r="AO14" s="641"/>
      <c r="AP14" s="641"/>
      <c r="AQ14" s="641"/>
      <c r="AR14" s="641"/>
      <c r="AS14" s="641"/>
      <c r="AT14" s="641"/>
      <c r="AU14" s="641"/>
      <c r="AV14" s="641"/>
      <c r="AW14" s="641"/>
      <c r="AX14" s="641"/>
      <c r="AY14" s="641"/>
      <c r="AZ14" s="641"/>
      <c r="BA14" s="641"/>
      <c r="BB14" s="641"/>
      <c r="BC14" s="641"/>
      <c r="BD14" s="641"/>
      <c r="BE14" s="641"/>
      <c r="BF14" s="641"/>
      <c r="BG14" s="641"/>
      <c r="BH14" s="641"/>
    </row>
    <row r="15" spans="1:60" ht="24" customHeight="1">
      <c r="A15" s="1519" t="s">
        <v>3871</v>
      </c>
      <c r="B15" s="1520"/>
      <c r="C15" s="1520"/>
      <c r="D15" s="1520"/>
      <c r="E15" s="1520"/>
      <c r="F15" s="1520"/>
      <c r="G15" s="1520"/>
    </row>
    <row r="16" spans="1:60" ht="36" customHeight="1">
      <c r="A16" s="1521" t="s">
        <v>3527</v>
      </c>
      <c r="B16" s="843"/>
      <c r="C16" s="843"/>
      <c r="D16" s="843"/>
      <c r="E16" s="843"/>
      <c r="F16" s="843"/>
      <c r="G16" s="843"/>
    </row>
    <row r="17" spans="1:7" ht="15" customHeight="1">
      <c r="A17" s="1521" t="s">
        <v>253</v>
      </c>
      <c r="B17" s="1229"/>
      <c r="C17" s="148"/>
      <c r="D17" s="1522"/>
      <c r="E17" s="843"/>
      <c r="F17" s="843"/>
      <c r="G17" s="843"/>
    </row>
    <row r="18" spans="1:7" ht="8.1" customHeight="1" thickBot="1">
      <c r="A18" s="1523"/>
      <c r="B18" s="1524"/>
      <c r="C18" s="1524"/>
      <c r="D18" s="1524"/>
      <c r="E18" s="1524"/>
      <c r="F18" s="1524"/>
      <c r="G18" s="1524"/>
    </row>
    <row r="19" spans="1:7" ht="15" customHeight="1">
      <c r="A19" s="1516"/>
      <c r="B19" s="1517"/>
      <c r="C19" s="1517"/>
      <c r="D19" s="1517"/>
      <c r="E19" s="1518"/>
      <c r="F19" s="79" t="s">
        <v>149</v>
      </c>
      <c r="G19" s="89" t="s">
        <v>157</v>
      </c>
    </row>
    <row r="20" spans="1:7" ht="24" customHeight="1">
      <c r="A20" s="45">
        <v>321</v>
      </c>
      <c r="B20" s="1527" t="s">
        <v>254</v>
      </c>
      <c r="C20" s="1527"/>
      <c r="D20" s="1527"/>
      <c r="E20" s="1528"/>
      <c r="F20" s="113">
        <v>0</v>
      </c>
      <c r="G20" s="70"/>
    </row>
    <row r="21" spans="1:7" ht="24" customHeight="1">
      <c r="A21" s="45">
        <v>322</v>
      </c>
      <c r="B21" s="1527" t="s">
        <v>255</v>
      </c>
      <c r="C21" s="1527"/>
      <c r="D21" s="1527"/>
      <c r="E21" s="1528"/>
      <c r="F21" s="113">
        <v>0</v>
      </c>
      <c r="G21" s="70"/>
    </row>
    <row r="22" spans="1:7" ht="24" customHeight="1">
      <c r="A22" s="45">
        <v>323</v>
      </c>
      <c r="B22" s="1527" t="s">
        <v>113</v>
      </c>
      <c r="C22" s="1527"/>
      <c r="D22" s="1527"/>
      <c r="E22" s="1528"/>
      <c r="F22" s="113">
        <v>0</v>
      </c>
      <c r="G22" s="70"/>
    </row>
    <row r="23" spans="1:7" ht="24" customHeight="1">
      <c r="A23" s="45">
        <v>324</v>
      </c>
      <c r="B23" s="1531" t="s">
        <v>3862</v>
      </c>
      <c r="C23" s="1531"/>
      <c r="D23" s="1531"/>
      <c r="E23" s="1532"/>
      <c r="F23" s="268">
        <f>ROUND(+IF(+IF(IF('DAP2'!E16=0,0,(F20-F21)/'DAP2'!E16)&lt;0,0,IF('DAP2'!E16=0,0,(F20-F21)/'DAP2'!E16))&gt;1,1,+IF(IF('DAP2'!E16=0,0,(F20-F21)/'DAP2'!E16)&lt;0,0,IF('DAP2'!E16=0,0,(F20-F21)/'DAP2'!E16))),4)</f>
        <v>0</v>
      </c>
      <c r="G23" s="70"/>
    </row>
    <row r="24" spans="1:7" ht="24" customHeight="1">
      <c r="A24" s="45">
        <v>325</v>
      </c>
      <c r="B24" s="1531" t="s">
        <v>3863</v>
      </c>
      <c r="C24" s="1531"/>
      <c r="D24" s="1531"/>
      <c r="E24" s="1532"/>
      <c r="F24" s="270">
        <f>ROUND((+'DAP2'!F34+'DAP2'!F37)*'3Př'!F23,2)</f>
        <v>0</v>
      </c>
      <c r="G24" s="70"/>
    </row>
    <row r="25" spans="1:7" ht="24" customHeight="1" thickBot="1">
      <c r="A25" s="47">
        <v>326</v>
      </c>
      <c r="B25" s="1533" t="s">
        <v>144</v>
      </c>
      <c r="C25" s="1533"/>
      <c r="D25" s="1533"/>
      <c r="E25" s="1534"/>
      <c r="F25" s="271">
        <f>+MIN(F22,F24)</f>
        <v>0</v>
      </c>
      <c r="G25" s="87"/>
    </row>
    <row r="26" spans="1:7" ht="24" customHeight="1" thickBot="1">
      <c r="A26" s="83">
        <v>327</v>
      </c>
      <c r="B26" s="1540" t="s">
        <v>145</v>
      </c>
      <c r="C26" s="1540"/>
      <c r="D26" s="1540"/>
      <c r="E26" s="1541"/>
      <c r="F26" s="272">
        <f>+F22-F25</f>
        <v>0</v>
      </c>
      <c r="G26" s="88"/>
    </row>
    <row r="27" spans="1:7" ht="24" customHeight="1" thickBot="1">
      <c r="A27" s="83">
        <v>328</v>
      </c>
      <c r="B27" s="1540" t="s">
        <v>3528</v>
      </c>
      <c r="C27" s="1540"/>
      <c r="D27" s="1540"/>
      <c r="E27" s="1541"/>
      <c r="F27" s="273">
        <f>+F25+'3Př_a'!F17</f>
        <v>0</v>
      </c>
      <c r="G27" s="88"/>
    </row>
    <row r="28" spans="1:7" ht="24" customHeight="1" thickBot="1">
      <c r="A28" s="83">
        <v>329</v>
      </c>
      <c r="B28" s="1540" t="s">
        <v>3529</v>
      </c>
      <c r="C28" s="1540"/>
      <c r="D28" s="1540"/>
      <c r="E28" s="1541"/>
      <c r="F28" s="273">
        <f>+F26+'3Př_a'!F18</f>
        <v>0</v>
      </c>
      <c r="G28" s="88"/>
    </row>
    <row r="29" spans="1:7" ht="24" customHeight="1" thickBot="1">
      <c r="A29" s="1521"/>
      <c r="B29" s="843"/>
      <c r="C29" s="843"/>
      <c r="D29" s="843"/>
      <c r="E29" s="843"/>
      <c r="F29" s="843"/>
      <c r="G29" s="843"/>
    </row>
    <row r="30" spans="1:7" ht="24" customHeight="1" thickBot="1">
      <c r="A30" s="83">
        <v>330</v>
      </c>
      <c r="B30" s="1537" t="s">
        <v>3635</v>
      </c>
      <c r="C30" s="1538"/>
      <c r="D30" s="1538"/>
      <c r="E30" s="1539"/>
      <c r="F30" s="272">
        <f>+IF(F20+F8+F9=0,0,IF(OR(F20&gt;0,F13=0),'DAP2'!F34-F27,F13-F27))</f>
        <v>0</v>
      </c>
      <c r="G30" s="88"/>
    </row>
    <row r="31" spans="1:7" ht="50.1" customHeight="1">
      <c r="A31" s="1060"/>
      <c r="B31" s="1016"/>
      <c r="C31" s="1016"/>
      <c r="D31" s="1016"/>
      <c r="E31" s="1016"/>
      <c r="F31" s="1016"/>
      <c r="G31" s="1016"/>
    </row>
    <row r="32" spans="1:7" ht="15.95" customHeight="1">
      <c r="A32" s="1536" t="str">
        <f>+'DAP1'!A46</f>
        <v>Formulář zpracovala ASPEKT HM, daňová, účetní a auditorská kancelář, www.danovapriznani.cz, business.center.cz</v>
      </c>
      <c r="B32" s="1536"/>
      <c r="C32" s="1536"/>
      <c r="D32" s="1536"/>
      <c r="E32" s="1536"/>
      <c r="F32" s="1536"/>
      <c r="G32" s="1536"/>
    </row>
    <row r="33" spans="1:60" s="169" customFormat="1" ht="12" customHeight="1">
      <c r="A33" s="1535" t="s">
        <v>3872</v>
      </c>
      <c r="B33" s="1535"/>
      <c r="C33" s="1535"/>
      <c r="D33" s="1535"/>
      <c r="E33" s="1535"/>
      <c r="F33" s="1535"/>
      <c r="G33" s="1535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</row>
    <row r="34" spans="1:60">
      <c r="A34" s="1529" t="s">
        <v>300</v>
      </c>
      <c r="B34" s="1529"/>
      <c r="C34" s="1529"/>
      <c r="D34" s="1529"/>
      <c r="E34" s="1530"/>
      <c r="F34" s="1530"/>
      <c r="G34" s="1530"/>
    </row>
    <row r="35" spans="1:60">
      <c r="A35" s="78"/>
      <c r="B35" s="78"/>
      <c r="C35" s="78"/>
      <c r="D35" s="78"/>
      <c r="E35" s="78"/>
      <c r="F35" s="78"/>
      <c r="G35" s="78"/>
    </row>
    <row r="36" spans="1:60">
      <c r="A36" s="78"/>
      <c r="B36" s="78"/>
      <c r="C36" s="78"/>
      <c r="D36" s="78"/>
      <c r="E36" s="78"/>
      <c r="F36" s="78"/>
      <c r="G36" s="78"/>
    </row>
    <row r="37" spans="1:60">
      <c r="A37" s="78"/>
      <c r="B37" s="78"/>
      <c r="C37" s="78"/>
      <c r="D37" s="78"/>
      <c r="E37" s="78"/>
      <c r="F37" s="78"/>
      <c r="G37" s="78"/>
    </row>
    <row r="38" spans="1:60">
      <c r="A38" s="78"/>
      <c r="B38" s="78"/>
      <c r="C38" s="78"/>
      <c r="D38" s="78"/>
      <c r="E38" s="78"/>
      <c r="F38" s="78"/>
      <c r="G38" s="78"/>
    </row>
    <row r="39" spans="1:60">
      <c r="A39" s="78"/>
      <c r="B39" s="78"/>
      <c r="C39" s="78"/>
      <c r="D39" s="78"/>
      <c r="E39" s="78"/>
      <c r="F39" s="78"/>
      <c r="G39" s="78"/>
    </row>
    <row r="40" spans="1:60">
      <c r="A40" s="78"/>
      <c r="B40" s="78"/>
      <c r="C40" s="78"/>
      <c r="D40" s="78"/>
      <c r="E40" s="78"/>
      <c r="F40" s="78"/>
      <c r="G40" s="78"/>
    </row>
    <row r="41" spans="1:60">
      <c r="A41" s="78"/>
      <c r="B41" s="78"/>
      <c r="C41" s="78"/>
      <c r="D41" s="78"/>
      <c r="E41" s="78"/>
      <c r="F41" s="78"/>
      <c r="G41" s="78"/>
    </row>
    <row r="42" spans="1:60">
      <c r="A42" s="78"/>
      <c r="B42" s="78"/>
      <c r="C42" s="78"/>
      <c r="D42" s="78"/>
      <c r="E42" s="78"/>
      <c r="F42" s="78"/>
      <c r="G42" s="78"/>
    </row>
    <row r="43" spans="1:60">
      <c r="A43" s="78"/>
      <c r="B43" s="78"/>
      <c r="C43" s="78"/>
      <c r="D43" s="78"/>
      <c r="E43" s="78"/>
      <c r="F43" s="78"/>
      <c r="G43" s="78"/>
    </row>
    <row r="44" spans="1:60">
      <c r="A44" s="78"/>
      <c r="B44" s="78"/>
      <c r="C44" s="78"/>
      <c r="D44" s="78"/>
      <c r="E44" s="78"/>
      <c r="F44" s="78"/>
      <c r="G44" s="78"/>
    </row>
    <row r="45" spans="1:60">
      <c r="A45" s="78"/>
      <c r="B45" s="78"/>
      <c r="C45" s="78"/>
      <c r="D45" s="78"/>
      <c r="E45" s="78"/>
      <c r="F45" s="78"/>
      <c r="G45" s="78"/>
    </row>
    <row r="46" spans="1:60">
      <c r="A46" s="78"/>
      <c r="B46" s="78"/>
      <c r="C46" s="78"/>
      <c r="D46" s="78"/>
      <c r="E46" s="78"/>
      <c r="F46" s="78"/>
      <c r="G46" s="78"/>
    </row>
    <row r="47" spans="1:60">
      <c r="A47" s="78"/>
      <c r="B47" s="78"/>
      <c r="C47" s="78"/>
      <c r="D47" s="78"/>
      <c r="E47" s="78"/>
      <c r="F47" s="78"/>
      <c r="G47" s="78"/>
    </row>
    <row r="48" spans="1:60">
      <c r="A48" s="78"/>
      <c r="B48" s="78"/>
      <c r="C48" s="78"/>
      <c r="D48" s="78"/>
      <c r="E48" s="78"/>
      <c r="F48" s="78"/>
      <c r="G48" s="78"/>
    </row>
    <row r="49" spans="1:7">
      <c r="A49" s="78"/>
      <c r="B49" s="78"/>
      <c r="C49" s="78"/>
      <c r="D49" s="78"/>
      <c r="E49" s="78"/>
      <c r="F49" s="78"/>
      <c r="G49" s="78"/>
    </row>
    <row r="50" spans="1:7">
      <c r="A50" s="78"/>
      <c r="B50" s="78"/>
      <c r="C50" s="78"/>
      <c r="D50" s="78"/>
      <c r="E50" s="78"/>
      <c r="F50" s="78"/>
      <c r="G50" s="78"/>
    </row>
    <row r="51" spans="1:7">
      <c r="A51" s="78"/>
      <c r="B51" s="78"/>
      <c r="C51" s="78"/>
      <c r="D51" s="78"/>
      <c r="E51" s="78"/>
      <c r="F51" s="78"/>
      <c r="G51" s="78"/>
    </row>
    <row r="52" spans="1:7">
      <c r="A52" s="78"/>
      <c r="B52" s="78"/>
      <c r="C52" s="78"/>
      <c r="D52" s="78"/>
      <c r="E52" s="78"/>
      <c r="F52" s="78"/>
      <c r="G52" s="78"/>
    </row>
    <row r="53" spans="1:7">
      <c r="A53" s="78"/>
      <c r="B53" s="78"/>
      <c r="C53" s="78"/>
      <c r="D53" s="78"/>
      <c r="E53" s="78"/>
      <c r="F53" s="78"/>
      <c r="G53" s="78"/>
    </row>
    <row r="54" spans="1:7">
      <c r="A54" s="78"/>
      <c r="B54" s="78"/>
      <c r="C54" s="78"/>
      <c r="D54" s="78"/>
      <c r="E54" s="78"/>
      <c r="F54" s="78"/>
      <c r="G54" s="78"/>
    </row>
    <row r="55" spans="1:7">
      <c r="A55" s="78"/>
      <c r="B55" s="78"/>
      <c r="C55" s="78"/>
      <c r="D55" s="78"/>
      <c r="E55" s="78"/>
      <c r="F55" s="78"/>
      <c r="G55" s="78"/>
    </row>
    <row r="56" spans="1:7">
      <c r="A56" s="78"/>
      <c r="B56" s="78"/>
      <c r="C56" s="78"/>
      <c r="D56" s="78"/>
      <c r="E56" s="78"/>
      <c r="F56" s="78"/>
      <c r="G56" s="78"/>
    </row>
    <row r="57" spans="1:7">
      <c r="A57" s="78"/>
      <c r="B57" s="78"/>
      <c r="C57" s="78"/>
      <c r="D57" s="78"/>
      <c r="E57" s="78"/>
      <c r="F57" s="78"/>
      <c r="G57" s="78"/>
    </row>
    <row r="58" spans="1:7">
      <c r="A58" s="78"/>
      <c r="B58" s="78"/>
      <c r="C58" s="78"/>
      <c r="D58" s="78"/>
      <c r="E58" s="78"/>
      <c r="F58" s="78"/>
      <c r="G58" s="78"/>
    </row>
    <row r="59" spans="1:7">
      <c r="A59" s="78"/>
      <c r="B59" s="78"/>
      <c r="C59" s="78"/>
      <c r="D59" s="78"/>
      <c r="E59" s="78"/>
      <c r="F59" s="78"/>
      <c r="G59" s="78"/>
    </row>
    <row r="60" spans="1:7">
      <c r="A60" s="78"/>
      <c r="B60" s="78"/>
      <c r="C60" s="78"/>
      <c r="D60" s="78"/>
      <c r="E60" s="78"/>
      <c r="F60" s="78"/>
      <c r="G60" s="78"/>
    </row>
    <row r="61" spans="1:7">
      <c r="A61" s="78"/>
      <c r="B61" s="78"/>
      <c r="C61" s="78"/>
      <c r="D61" s="78"/>
      <c r="E61" s="78"/>
      <c r="F61" s="78"/>
      <c r="G61" s="78"/>
    </row>
    <row r="62" spans="1:7">
      <c r="A62" s="78"/>
      <c r="B62" s="78"/>
      <c r="C62" s="78"/>
      <c r="D62" s="78"/>
      <c r="E62" s="78"/>
      <c r="F62" s="78"/>
      <c r="G62" s="78"/>
    </row>
    <row r="63" spans="1:7">
      <c r="A63" s="78"/>
      <c r="B63" s="78"/>
      <c r="C63" s="78"/>
      <c r="D63" s="78"/>
      <c r="E63" s="78"/>
      <c r="F63" s="78"/>
      <c r="G63" s="78"/>
    </row>
    <row r="64" spans="1:7">
      <c r="A64" s="78"/>
      <c r="B64" s="78"/>
      <c r="C64" s="78"/>
      <c r="D64" s="78"/>
      <c r="E64" s="78"/>
      <c r="F64" s="78"/>
      <c r="G64" s="78"/>
    </row>
    <row r="65" spans="1:7">
      <c r="A65" s="78"/>
      <c r="B65" s="78"/>
      <c r="C65" s="78"/>
      <c r="D65" s="78"/>
      <c r="E65" s="78"/>
      <c r="F65" s="78"/>
      <c r="G65" s="78"/>
    </row>
    <row r="66" spans="1:7">
      <c r="A66" s="78"/>
      <c r="B66" s="78"/>
      <c r="C66" s="78"/>
      <c r="D66" s="78"/>
      <c r="E66" s="78"/>
      <c r="F66" s="78"/>
      <c r="G66" s="78"/>
    </row>
    <row r="67" spans="1:7">
      <c r="A67" s="78"/>
      <c r="B67" s="78"/>
      <c r="C67" s="78"/>
      <c r="D67" s="78"/>
      <c r="E67" s="78"/>
      <c r="F67" s="78"/>
      <c r="G67" s="78"/>
    </row>
    <row r="68" spans="1:7">
      <c r="A68" s="78"/>
      <c r="B68" s="78"/>
      <c r="C68" s="78"/>
      <c r="D68" s="78"/>
      <c r="E68" s="78"/>
      <c r="F68" s="78"/>
      <c r="G68" s="78"/>
    </row>
    <row r="69" spans="1:7">
      <c r="A69" s="78"/>
      <c r="B69" s="78"/>
      <c r="C69" s="78"/>
      <c r="D69" s="78"/>
      <c r="E69" s="78"/>
      <c r="F69" s="78"/>
      <c r="G69" s="78"/>
    </row>
    <row r="70" spans="1:7">
      <c r="A70" s="78"/>
      <c r="B70" s="78"/>
      <c r="C70" s="78"/>
      <c r="D70" s="78"/>
      <c r="E70" s="78"/>
      <c r="F70" s="78"/>
      <c r="G70" s="78"/>
    </row>
    <row r="71" spans="1:7">
      <c r="A71" s="78"/>
      <c r="B71" s="78"/>
      <c r="C71" s="78"/>
      <c r="D71" s="78"/>
      <c r="E71" s="78"/>
      <c r="F71" s="78"/>
      <c r="G71" s="78"/>
    </row>
    <row r="72" spans="1:7">
      <c r="A72" s="78"/>
      <c r="B72" s="78"/>
      <c r="C72" s="78"/>
      <c r="D72" s="78"/>
      <c r="E72" s="78"/>
      <c r="F72" s="78"/>
      <c r="G72" s="78"/>
    </row>
    <row r="73" spans="1:7">
      <c r="A73" s="78"/>
      <c r="B73" s="78"/>
      <c r="C73" s="78"/>
      <c r="D73" s="78"/>
      <c r="E73" s="78"/>
      <c r="F73" s="78"/>
      <c r="G73" s="78"/>
    </row>
    <row r="74" spans="1:7" s="78" customFormat="1"/>
    <row r="75" spans="1:7" s="78" customFormat="1"/>
    <row r="76" spans="1:7" s="78" customFormat="1"/>
    <row r="77" spans="1:7" s="78" customFormat="1"/>
    <row r="78" spans="1:7" s="78" customFormat="1"/>
    <row r="79" spans="1:7" s="78" customFormat="1"/>
    <row r="80" spans="1:7" s="78" customFormat="1"/>
    <row r="81" s="78" customFormat="1"/>
    <row r="82" s="78" customFormat="1"/>
    <row r="83" s="78" customFormat="1"/>
    <row r="84" s="78" customFormat="1"/>
    <row r="85" s="78" customFormat="1"/>
    <row r="86" s="78" customFormat="1"/>
    <row r="87" s="78" customFormat="1"/>
    <row r="88" s="78" customFormat="1"/>
    <row r="89" s="78" customFormat="1"/>
    <row r="90" s="78" customFormat="1"/>
    <row r="91" s="78" customFormat="1"/>
    <row r="92" s="78" customFormat="1"/>
    <row r="93" s="78" customFormat="1"/>
    <row r="94" s="78" customFormat="1"/>
    <row r="95" s="78" customFormat="1"/>
    <row r="96" s="78" customFormat="1"/>
    <row r="97" s="78" customFormat="1"/>
    <row r="98" s="78" customFormat="1"/>
    <row r="99" s="78" customFormat="1"/>
    <row r="100" s="78" customFormat="1"/>
    <row r="101" s="78" customFormat="1"/>
    <row r="102" s="78" customFormat="1"/>
    <row r="103" s="78" customFormat="1"/>
    <row r="104" s="78" customFormat="1"/>
    <row r="105" s="78" customFormat="1"/>
    <row r="106" s="78" customFormat="1"/>
    <row r="107" s="78" customFormat="1"/>
    <row r="108" s="78" customFormat="1"/>
    <row r="109" s="78" customFormat="1"/>
    <row r="110" s="78" customFormat="1"/>
    <row r="111" s="78" customFormat="1"/>
    <row r="112" s="78" customFormat="1"/>
    <row r="113" s="78" customFormat="1"/>
    <row r="114" s="78" customFormat="1"/>
    <row r="115" s="78" customFormat="1"/>
    <row r="116" s="78" customFormat="1"/>
    <row r="117" s="78" customFormat="1"/>
    <row r="118" s="78" customFormat="1"/>
    <row r="119" s="78" customFormat="1"/>
    <row r="120" s="78" customFormat="1"/>
    <row r="121" s="78" customFormat="1"/>
    <row r="122" s="78" customFormat="1"/>
    <row r="123" s="78" customFormat="1"/>
    <row r="124" s="78" customFormat="1"/>
    <row r="125" s="78" customFormat="1"/>
  </sheetData>
  <sheetProtection algorithmName="SHA-512" hashValue="15DfErsx9ac5+J5xjbQ6oSp5A1hhN7ER5RJe4l35LrepejO5toFAy4YvJ+XxjW3X23AekxTsBBN21zhdHABhJw==" saltValue="wOPymmBA9gUkcNHLxNeLBw==" spinCount="100000" sheet="1" objects="1" scenarios="1"/>
  <mergeCells count="36">
    <mergeCell ref="B10:E10"/>
    <mergeCell ref="B11:E11"/>
    <mergeCell ref="B12:E12"/>
    <mergeCell ref="B13:E13"/>
    <mergeCell ref="A14:G14"/>
    <mergeCell ref="A5:G5"/>
    <mergeCell ref="A6:E7"/>
    <mergeCell ref="F6:G6"/>
    <mergeCell ref="B8:E8"/>
    <mergeCell ref="B9:E9"/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1:C1"/>
    <mergeCell ref="A2:F2"/>
    <mergeCell ref="D1:F1"/>
    <mergeCell ref="A3:G3"/>
    <mergeCell ref="A4:G4"/>
    <mergeCell ref="A19:E19"/>
    <mergeCell ref="A15:G15"/>
    <mergeCell ref="A16:G16"/>
    <mergeCell ref="A17:B17"/>
    <mergeCell ref="D17:G17"/>
    <mergeCell ref="A18:G18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20FFB-31B8-454F-B793-6827151AEFBE}">
  <sheetPr>
    <tabColor rgb="FFFFCCFF"/>
    <pageSetUpPr fitToPage="1"/>
  </sheetPr>
  <dimension ref="A1:BH114"/>
  <sheetViews>
    <sheetView workbookViewId="0">
      <selection activeCell="G1" sqref="G1"/>
    </sheetView>
  </sheetViews>
  <sheetFormatPr defaultRowHeight="12.75"/>
  <cols>
    <col min="1" max="1" width="5.7109375" style="350" customWidth="1"/>
    <col min="2" max="2" width="4.7109375" style="350" customWidth="1"/>
    <col min="3" max="3" width="11.7109375" style="350" customWidth="1"/>
    <col min="4" max="4" width="18.7109375" style="350" customWidth="1"/>
    <col min="5" max="5" width="11.7109375" style="350" customWidth="1"/>
    <col min="6" max="7" width="21.7109375" style="350" customWidth="1"/>
    <col min="8" max="60" width="9.140625" style="659"/>
    <col min="61" max="16384" width="9.140625" style="350"/>
  </cols>
  <sheetData>
    <row r="1" spans="1:60" s="661" customFormat="1" ht="16.5" thickBot="1">
      <c r="A1" s="1555" t="s">
        <v>3873</v>
      </c>
      <c r="B1" s="1556"/>
      <c r="C1" s="1556"/>
      <c r="D1" s="1557" t="s">
        <v>37</v>
      </c>
      <c r="E1" s="1558"/>
      <c r="F1" s="1559"/>
      <c r="G1" s="658" t="str">
        <f>+'2Př'!I1</f>
        <v/>
      </c>
      <c r="H1" s="659"/>
      <c r="I1" s="659"/>
      <c r="J1" s="660"/>
      <c r="K1" s="660"/>
      <c r="L1" s="660"/>
      <c r="M1" s="660"/>
      <c r="N1" s="660"/>
      <c r="O1" s="660"/>
      <c r="P1" s="660"/>
      <c r="Q1" s="660"/>
      <c r="R1" s="660"/>
      <c r="S1" s="660"/>
      <c r="T1" s="660"/>
      <c r="U1" s="660"/>
      <c r="V1" s="660"/>
      <c r="W1" s="660"/>
      <c r="X1" s="660"/>
      <c r="Y1" s="660"/>
      <c r="Z1" s="660"/>
      <c r="AA1" s="660"/>
      <c r="AB1" s="660"/>
      <c r="AC1" s="660"/>
      <c r="AD1" s="660"/>
      <c r="AE1" s="660"/>
      <c r="AF1" s="660"/>
      <c r="AG1" s="660"/>
      <c r="AH1" s="660"/>
      <c r="AI1" s="660"/>
      <c r="AJ1" s="660"/>
      <c r="AK1" s="660"/>
      <c r="AL1" s="660"/>
      <c r="AM1" s="660"/>
      <c r="AN1" s="660"/>
      <c r="AO1" s="660"/>
      <c r="AP1" s="660"/>
      <c r="AQ1" s="660"/>
      <c r="AR1" s="660"/>
      <c r="AS1" s="660"/>
      <c r="AT1" s="660"/>
      <c r="AU1" s="660"/>
      <c r="AV1" s="660"/>
      <c r="AW1" s="660"/>
      <c r="AX1" s="660"/>
      <c r="AY1" s="660"/>
      <c r="AZ1" s="660"/>
      <c r="BA1" s="660"/>
      <c r="BB1" s="660"/>
      <c r="BC1" s="660"/>
      <c r="BD1" s="660"/>
      <c r="BE1" s="660"/>
      <c r="BF1" s="660"/>
    </row>
    <row r="2" spans="1:60" ht="24" customHeight="1">
      <c r="A2" s="1560" t="s">
        <v>3874</v>
      </c>
      <c r="B2" s="1560"/>
      <c r="C2" s="1560"/>
      <c r="D2" s="1560"/>
      <c r="E2" s="1560"/>
      <c r="F2" s="1560"/>
      <c r="G2" s="662"/>
    </row>
    <row r="3" spans="1:60" ht="36" customHeight="1">
      <c r="A3" s="1561" t="s">
        <v>171</v>
      </c>
      <c r="B3" s="1562"/>
      <c r="C3" s="1562"/>
      <c r="D3" s="1562"/>
      <c r="E3" s="1562"/>
      <c r="F3" s="1562"/>
      <c r="G3" s="1562"/>
    </row>
    <row r="4" spans="1:60" s="661" customFormat="1" ht="24" customHeight="1" thickBot="1">
      <c r="A4" s="1563" t="s">
        <v>3875</v>
      </c>
      <c r="B4" s="1564"/>
      <c r="C4" s="1564"/>
      <c r="D4" s="1564"/>
      <c r="E4" s="1564"/>
      <c r="F4" s="1564"/>
      <c r="G4" s="1564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</row>
    <row r="5" spans="1:60" s="661" customFormat="1" ht="15" customHeight="1">
      <c r="A5" s="1549"/>
      <c r="B5" s="1550"/>
      <c r="C5" s="1550"/>
      <c r="D5" s="1550"/>
      <c r="E5" s="1550"/>
      <c r="F5" s="1553" t="s">
        <v>261</v>
      </c>
      <c r="G5" s="1554"/>
      <c r="H5" s="660"/>
      <c r="I5" s="660"/>
      <c r="J5" s="660"/>
      <c r="K5" s="660"/>
      <c r="L5" s="660"/>
      <c r="M5" s="660"/>
      <c r="N5" s="660"/>
      <c r="O5" s="660"/>
      <c r="P5" s="660"/>
      <c r="Q5" s="660"/>
      <c r="R5" s="660"/>
      <c r="S5" s="660"/>
      <c r="T5" s="660"/>
      <c r="U5" s="660"/>
      <c r="V5" s="660"/>
      <c r="W5" s="660"/>
      <c r="X5" s="660"/>
      <c r="Y5" s="660"/>
      <c r="Z5" s="660"/>
      <c r="AA5" s="660"/>
      <c r="AB5" s="660"/>
      <c r="AC5" s="660"/>
      <c r="AD5" s="660"/>
      <c r="AE5" s="660"/>
      <c r="AF5" s="660"/>
      <c r="AG5" s="660"/>
      <c r="AH5" s="660"/>
      <c r="AI5" s="660"/>
      <c r="AJ5" s="660"/>
      <c r="AK5" s="660"/>
      <c r="AL5" s="660"/>
      <c r="AM5" s="660"/>
      <c r="AN5" s="660"/>
      <c r="AO5" s="660"/>
      <c r="AP5" s="660"/>
      <c r="AQ5" s="660"/>
      <c r="AR5" s="660"/>
      <c r="AS5" s="660"/>
      <c r="AT5" s="660"/>
      <c r="AU5" s="660"/>
      <c r="AV5" s="660"/>
      <c r="AW5" s="660"/>
      <c r="AX5" s="660"/>
      <c r="AY5" s="660"/>
      <c r="AZ5" s="660"/>
      <c r="BA5" s="660"/>
      <c r="BB5" s="660"/>
      <c r="BC5" s="660"/>
      <c r="BD5" s="660"/>
      <c r="BE5" s="660"/>
      <c r="BF5" s="660"/>
      <c r="BG5" s="660"/>
      <c r="BH5" s="660"/>
    </row>
    <row r="6" spans="1:60" s="661" customFormat="1" ht="15" customHeight="1">
      <c r="A6" s="1551"/>
      <c r="B6" s="1552"/>
      <c r="C6" s="1552"/>
      <c r="D6" s="1552"/>
      <c r="E6" s="1552"/>
      <c r="F6" s="663" t="s">
        <v>149</v>
      </c>
      <c r="G6" s="664" t="s">
        <v>157</v>
      </c>
      <c r="H6" s="660"/>
      <c r="I6" s="660"/>
      <c r="J6" s="660"/>
      <c r="K6" s="660"/>
      <c r="L6" s="660"/>
      <c r="M6" s="660"/>
      <c r="N6" s="660"/>
      <c r="O6" s="660"/>
      <c r="P6" s="660"/>
      <c r="Q6" s="660"/>
      <c r="R6" s="660"/>
      <c r="S6" s="660"/>
      <c r="T6" s="660"/>
      <c r="U6" s="660"/>
      <c r="V6" s="660"/>
      <c r="W6" s="660"/>
      <c r="X6" s="660"/>
      <c r="Y6" s="660"/>
      <c r="Z6" s="660"/>
      <c r="AA6" s="660"/>
      <c r="AB6" s="660"/>
      <c r="AC6" s="660"/>
      <c r="AD6" s="660"/>
      <c r="AE6" s="660"/>
      <c r="AF6" s="660"/>
      <c r="AG6" s="660"/>
      <c r="AH6" s="660"/>
      <c r="AI6" s="660"/>
      <c r="AJ6" s="660"/>
      <c r="AK6" s="660"/>
      <c r="AL6" s="660"/>
      <c r="AM6" s="660"/>
      <c r="AN6" s="660"/>
      <c r="AO6" s="660"/>
      <c r="AP6" s="660"/>
      <c r="AQ6" s="660"/>
      <c r="AR6" s="660"/>
      <c r="AS6" s="660"/>
      <c r="AT6" s="660"/>
      <c r="AU6" s="660"/>
      <c r="AV6" s="660"/>
      <c r="AW6" s="660"/>
      <c r="AX6" s="660"/>
      <c r="AY6" s="660"/>
      <c r="AZ6" s="660"/>
      <c r="BA6" s="660"/>
      <c r="BB6" s="660"/>
      <c r="BC6" s="660"/>
      <c r="BD6" s="660"/>
      <c r="BE6" s="660"/>
      <c r="BF6" s="660"/>
      <c r="BG6" s="660"/>
      <c r="BH6" s="660"/>
    </row>
    <row r="7" spans="1:60" s="661" customFormat="1" ht="48" customHeight="1">
      <c r="A7" s="665">
        <v>401</v>
      </c>
      <c r="B7" s="1565" t="s">
        <v>3876</v>
      </c>
      <c r="C7" s="1565"/>
      <c r="D7" s="1565"/>
      <c r="E7" s="1566"/>
      <c r="F7" s="666">
        <v>0</v>
      </c>
      <c r="G7" s="667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0"/>
      <c r="S7" s="660"/>
      <c r="T7" s="660"/>
      <c r="U7" s="660"/>
      <c r="V7" s="660"/>
      <c r="W7" s="660"/>
      <c r="X7" s="660"/>
      <c r="Y7" s="660"/>
      <c r="Z7" s="660"/>
      <c r="AA7" s="660"/>
      <c r="AB7" s="660"/>
      <c r="AC7" s="660"/>
      <c r="AD7" s="660"/>
      <c r="AE7" s="660"/>
      <c r="AF7" s="660"/>
      <c r="AG7" s="660"/>
      <c r="AH7" s="660"/>
      <c r="AI7" s="660"/>
      <c r="AJ7" s="660"/>
      <c r="AK7" s="660"/>
      <c r="AL7" s="660"/>
      <c r="AM7" s="660"/>
      <c r="AN7" s="660"/>
      <c r="AO7" s="660"/>
      <c r="AP7" s="660"/>
      <c r="AQ7" s="660"/>
      <c r="AR7" s="660"/>
      <c r="AS7" s="660"/>
      <c r="AT7" s="660"/>
      <c r="AU7" s="660"/>
      <c r="AV7" s="660"/>
      <c r="AW7" s="660"/>
      <c r="AX7" s="660"/>
      <c r="AY7" s="660"/>
      <c r="AZ7" s="660"/>
      <c r="BA7" s="660"/>
      <c r="BB7" s="660"/>
      <c r="BC7" s="660"/>
      <c r="BD7" s="660"/>
      <c r="BE7" s="660"/>
      <c r="BF7" s="660"/>
      <c r="BG7" s="660"/>
      <c r="BH7" s="660"/>
    </row>
    <row r="8" spans="1:60" s="661" customFormat="1" ht="27.95" customHeight="1">
      <c r="A8" s="665">
        <v>402</v>
      </c>
      <c r="B8" s="1565" t="s">
        <v>3877</v>
      </c>
      <c r="C8" s="1565"/>
      <c r="D8" s="1565"/>
      <c r="E8" s="1566"/>
      <c r="F8" s="666">
        <v>0</v>
      </c>
      <c r="G8" s="667"/>
      <c r="H8" s="660"/>
      <c r="I8" s="660"/>
      <c r="J8" s="660"/>
      <c r="K8" s="660"/>
      <c r="L8" s="660"/>
      <c r="M8" s="660"/>
      <c r="N8" s="660"/>
      <c r="O8" s="660"/>
      <c r="P8" s="660"/>
      <c r="Q8" s="660"/>
      <c r="R8" s="660"/>
      <c r="S8" s="660"/>
      <c r="T8" s="660"/>
      <c r="U8" s="660"/>
      <c r="V8" s="660"/>
      <c r="W8" s="660"/>
      <c r="X8" s="660"/>
      <c r="Y8" s="660"/>
      <c r="Z8" s="660"/>
      <c r="AA8" s="660"/>
      <c r="AB8" s="660"/>
      <c r="AC8" s="660"/>
      <c r="AD8" s="660"/>
      <c r="AE8" s="660"/>
      <c r="AF8" s="660"/>
      <c r="AG8" s="660"/>
      <c r="AH8" s="660"/>
      <c r="AI8" s="660"/>
      <c r="AJ8" s="660"/>
      <c r="AK8" s="660"/>
      <c r="AL8" s="660"/>
      <c r="AM8" s="660"/>
      <c r="AN8" s="660"/>
      <c r="AO8" s="660"/>
      <c r="AP8" s="660"/>
      <c r="AQ8" s="660"/>
      <c r="AR8" s="660"/>
      <c r="AS8" s="660"/>
      <c r="AT8" s="660"/>
      <c r="AU8" s="660"/>
      <c r="AV8" s="660"/>
      <c r="AW8" s="660"/>
      <c r="AX8" s="660"/>
      <c r="AY8" s="660"/>
      <c r="AZ8" s="660"/>
      <c r="BA8" s="660"/>
      <c r="BB8" s="660"/>
      <c r="BC8" s="660"/>
      <c r="BD8" s="660"/>
      <c r="BE8" s="660"/>
      <c r="BF8" s="660"/>
      <c r="BG8" s="660"/>
      <c r="BH8" s="660"/>
    </row>
    <row r="9" spans="1:60" s="661" customFormat="1" ht="27.95" customHeight="1">
      <c r="A9" s="665">
        <v>403</v>
      </c>
      <c r="B9" s="1565" t="s">
        <v>3878</v>
      </c>
      <c r="C9" s="1565"/>
      <c r="D9" s="1565"/>
      <c r="E9" s="1566"/>
      <c r="F9" s="666">
        <v>0</v>
      </c>
      <c r="G9" s="667"/>
      <c r="H9" s="660"/>
      <c r="I9" s="660"/>
      <c r="J9" s="660"/>
      <c r="K9" s="660"/>
      <c r="L9" s="660"/>
      <c r="M9" s="660"/>
      <c r="N9" s="660"/>
      <c r="O9" s="660"/>
      <c r="P9" s="660"/>
      <c r="Q9" s="660"/>
      <c r="R9" s="660"/>
      <c r="S9" s="660"/>
      <c r="T9" s="660"/>
      <c r="U9" s="660"/>
      <c r="V9" s="660"/>
      <c r="W9" s="660"/>
      <c r="X9" s="660"/>
      <c r="Y9" s="660"/>
      <c r="Z9" s="660"/>
      <c r="AA9" s="660"/>
      <c r="AB9" s="660"/>
      <c r="AC9" s="660"/>
      <c r="AD9" s="660"/>
      <c r="AE9" s="660"/>
      <c r="AF9" s="660"/>
      <c r="AG9" s="660"/>
      <c r="AH9" s="660"/>
      <c r="AI9" s="660"/>
      <c r="AJ9" s="660"/>
      <c r="AK9" s="660"/>
      <c r="AL9" s="660"/>
      <c r="AM9" s="660"/>
      <c r="AN9" s="660"/>
      <c r="AO9" s="660"/>
      <c r="AP9" s="660"/>
      <c r="AQ9" s="660"/>
      <c r="AR9" s="660"/>
      <c r="AS9" s="660"/>
      <c r="AT9" s="660"/>
      <c r="AU9" s="660"/>
      <c r="AV9" s="660"/>
      <c r="AW9" s="660"/>
      <c r="AX9" s="660"/>
      <c r="AY9" s="660"/>
      <c r="AZ9" s="660"/>
      <c r="BA9" s="660"/>
      <c r="BB9" s="660"/>
      <c r="BC9" s="660"/>
      <c r="BD9" s="660"/>
      <c r="BE9" s="660"/>
      <c r="BF9" s="660"/>
      <c r="BG9" s="660"/>
      <c r="BH9" s="660"/>
    </row>
    <row r="10" spans="1:60" s="661" customFormat="1" ht="27.95" customHeight="1">
      <c r="A10" s="665">
        <v>404</v>
      </c>
      <c r="B10" s="1565" t="s">
        <v>3879</v>
      </c>
      <c r="C10" s="1565"/>
      <c r="D10" s="1565"/>
      <c r="E10" s="1566"/>
      <c r="F10" s="666">
        <v>0</v>
      </c>
      <c r="G10" s="667"/>
      <c r="H10" s="660"/>
      <c r="I10" s="660"/>
      <c r="J10" s="660"/>
      <c r="K10" s="660"/>
      <c r="L10" s="660"/>
      <c r="M10" s="660"/>
      <c r="N10" s="660"/>
      <c r="O10" s="660"/>
      <c r="P10" s="660"/>
      <c r="Q10" s="660"/>
      <c r="R10" s="660"/>
      <c r="S10" s="660"/>
      <c r="T10" s="660"/>
      <c r="U10" s="660"/>
      <c r="V10" s="660"/>
      <c r="W10" s="660"/>
      <c r="X10" s="660"/>
      <c r="Y10" s="660"/>
      <c r="Z10" s="660"/>
      <c r="AA10" s="660"/>
      <c r="AB10" s="660"/>
      <c r="AC10" s="660"/>
      <c r="AD10" s="660"/>
      <c r="AE10" s="660"/>
      <c r="AF10" s="660"/>
      <c r="AG10" s="660"/>
      <c r="AH10" s="660"/>
      <c r="AI10" s="660"/>
      <c r="AJ10" s="660"/>
      <c r="AK10" s="660"/>
      <c r="AL10" s="660"/>
      <c r="AM10" s="660"/>
      <c r="AN10" s="660"/>
      <c r="AO10" s="660"/>
      <c r="AP10" s="660"/>
      <c r="AQ10" s="660"/>
      <c r="AR10" s="660"/>
      <c r="AS10" s="660"/>
      <c r="AT10" s="660"/>
      <c r="AU10" s="660"/>
      <c r="AV10" s="660"/>
      <c r="AW10" s="660"/>
      <c r="AX10" s="660"/>
      <c r="AY10" s="660"/>
      <c r="AZ10" s="660"/>
      <c r="BA10" s="660"/>
      <c r="BB10" s="660"/>
      <c r="BC10" s="660"/>
      <c r="BD10" s="660"/>
      <c r="BE10" s="660"/>
      <c r="BF10" s="660"/>
      <c r="BG10" s="660"/>
      <c r="BH10" s="660"/>
    </row>
    <row r="11" spans="1:60" s="661" customFormat="1" ht="27.95" customHeight="1">
      <c r="A11" s="665">
        <v>405</v>
      </c>
      <c r="B11" s="1565" t="s">
        <v>3880</v>
      </c>
      <c r="C11" s="1565"/>
      <c r="D11" s="1565"/>
      <c r="E11" s="1566"/>
      <c r="F11" s="666">
        <v>0</v>
      </c>
      <c r="G11" s="667"/>
      <c r="H11" s="660"/>
      <c r="I11" s="660"/>
      <c r="J11" s="660"/>
      <c r="K11" s="660"/>
      <c r="L11" s="660"/>
      <c r="M11" s="660"/>
      <c r="N11" s="660"/>
      <c r="O11" s="660"/>
      <c r="P11" s="660"/>
      <c r="Q11" s="660"/>
      <c r="R11" s="660"/>
      <c r="S11" s="660"/>
      <c r="T11" s="660"/>
      <c r="U11" s="660"/>
      <c r="V11" s="660"/>
      <c r="W11" s="660"/>
      <c r="X11" s="660"/>
      <c r="Y11" s="660"/>
      <c r="Z11" s="660"/>
      <c r="AA11" s="660"/>
      <c r="AB11" s="660"/>
      <c r="AC11" s="660"/>
      <c r="AD11" s="660"/>
      <c r="AE11" s="660"/>
      <c r="AF11" s="660"/>
      <c r="AG11" s="660"/>
      <c r="AH11" s="660"/>
      <c r="AI11" s="660"/>
      <c r="AJ11" s="660"/>
      <c r="AK11" s="660"/>
      <c r="AL11" s="660"/>
      <c r="AM11" s="660"/>
      <c r="AN11" s="660"/>
      <c r="AO11" s="660"/>
      <c r="AP11" s="660"/>
      <c r="AQ11" s="660"/>
      <c r="AR11" s="660"/>
      <c r="AS11" s="660"/>
      <c r="AT11" s="660"/>
      <c r="AU11" s="660"/>
      <c r="AV11" s="660"/>
      <c r="AW11" s="660"/>
      <c r="AX11" s="660"/>
      <c r="AY11" s="660"/>
      <c r="AZ11" s="660"/>
      <c r="BA11" s="660"/>
      <c r="BB11" s="660"/>
      <c r="BC11" s="660"/>
      <c r="BD11" s="660"/>
      <c r="BE11" s="660"/>
      <c r="BF11" s="660"/>
      <c r="BG11" s="660"/>
      <c r="BH11" s="660"/>
    </row>
    <row r="12" spans="1:60" s="661" customFormat="1" ht="27.95" customHeight="1">
      <c r="A12" s="665">
        <v>406</v>
      </c>
      <c r="B12" s="1565" t="s">
        <v>3881</v>
      </c>
      <c r="C12" s="1565"/>
      <c r="D12" s="1565"/>
      <c r="E12" s="1566"/>
      <c r="F12" s="666">
        <v>0</v>
      </c>
      <c r="G12" s="667"/>
      <c r="H12" s="660"/>
      <c r="I12" s="660"/>
      <c r="J12" s="660"/>
      <c r="K12" s="660"/>
      <c r="L12" s="660"/>
      <c r="M12" s="660"/>
      <c r="N12" s="660"/>
      <c r="O12" s="660"/>
      <c r="P12" s="660"/>
      <c r="Q12" s="660"/>
      <c r="R12" s="660"/>
      <c r="S12" s="660"/>
      <c r="T12" s="660"/>
      <c r="U12" s="660"/>
      <c r="V12" s="660"/>
      <c r="W12" s="660"/>
      <c r="X12" s="660"/>
      <c r="Y12" s="660"/>
      <c r="Z12" s="660"/>
      <c r="AA12" s="660"/>
      <c r="AB12" s="660"/>
      <c r="AC12" s="660"/>
      <c r="AD12" s="660"/>
      <c r="AE12" s="660"/>
      <c r="AF12" s="660"/>
      <c r="AG12" s="660"/>
      <c r="AH12" s="660"/>
      <c r="AI12" s="660"/>
      <c r="AJ12" s="660"/>
      <c r="AK12" s="660"/>
      <c r="AL12" s="660"/>
      <c r="AM12" s="660"/>
      <c r="AN12" s="660"/>
      <c r="AO12" s="660"/>
      <c r="AP12" s="660"/>
      <c r="AQ12" s="660"/>
      <c r="AR12" s="660"/>
      <c r="AS12" s="660"/>
      <c r="AT12" s="660"/>
      <c r="AU12" s="660"/>
      <c r="AV12" s="660"/>
      <c r="AW12" s="660"/>
      <c r="AX12" s="660"/>
      <c r="AY12" s="660"/>
      <c r="AZ12" s="660"/>
      <c r="BA12" s="660"/>
      <c r="BB12" s="660"/>
      <c r="BC12" s="660"/>
      <c r="BD12" s="660"/>
      <c r="BE12" s="660"/>
      <c r="BF12" s="660"/>
      <c r="BG12" s="660"/>
      <c r="BH12" s="660"/>
    </row>
    <row r="13" spans="1:60" s="661" customFormat="1" ht="27.95" customHeight="1">
      <c r="A13" s="665">
        <v>407</v>
      </c>
      <c r="B13" s="1565" t="s">
        <v>3882</v>
      </c>
      <c r="C13" s="1565"/>
      <c r="D13" s="1565"/>
      <c r="E13" s="1566"/>
      <c r="F13" s="668">
        <f>+F8-F9</f>
        <v>0</v>
      </c>
      <c r="G13" s="667"/>
      <c r="H13" s="660"/>
      <c r="I13" s="660"/>
      <c r="J13" s="660"/>
      <c r="K13" s="660"/>
      <c r="L13" s="660"/>
      <c r="M13" s="660"/>
      <c r="N13" s="660"/>
      <c r="O13" s="660"/>
      <c r="P13" s="660"/>
      <c r="Q13" s="660"/>
      <c r="R13" s="660"/>
      <c r="S13" s="660"/>
      <c r="T13" s="660"/>
      <c r="U13" s="660"/>
      <c r="V13" s="660"/>
      <c r="W13" s="660"/>
      <c r="X13" s="660"/>
      <c r="Y13" s="660"/>
      <c r="Z13" s="660"/>
      <c r="AA13" s="660"/>
      <c r="AB13" s="660"/>
      <c r="AC13" s="660"/>
      <c r="AD13" s="660"/>
      <c r="AE13" s="660"/>
      <c r="AF13" s="660"/>
      <c r="AG13" s="660"/>
      <c r="AH13" s="660"/>
      <c r="AI13" s="660"/>
      <c r="AJ13" s="660"/>
      <c r="AK13" s="660"/>
      <c r="AL13" s="660"/>
      <c r="AM13" s="660"/>
      <c r="AN13" s="660"/>
      <c r="AO13" s="660"/>
      <c r="AP13" s="660"/>
      <c r="AQ13" s="660"/>
      <c r="AR13" s="660"/>
      <c r="AS13" s="660"/>
      <c r="AT13" s="660"/>
      <c r="AU13" s="660"/>
      <c r="AV13" s="660"/>
      <c r="AW13" s="660"/>
      <c r="AX13" s="660"/>
      <c r="AY13" s="660"/>
      <c r="AZ13" s="660"/>
      <c r="BA13" s="660"/>
      <c r="BB13" s="660"/>
      <c r="BC13" s="660"/>
      <c r="BD13" s="660"/>
      <c r="BE13" s="660"/>
      <c r="BF13" s="660"/>
      <c r="BG13" s="660"/>
      <c r="BH13" s="660"/>
    </row>
    <row r="14" spans="1:60" s="661" customFormat="1" ht="27.95" customHeight="1">
      <c r="A14" s="665">
        <v>408</v>
      </c>
      <c r="B14" s="1565" t="s">
        <v>3883</v>
      </c>
      <c r="C14" s="1565"/>
      <c r="D14" s="1565"/>
      <c r="E14" s="1566"/>
      <c r="F14" s="668">
        <f>+F10-F11</f>
        <v>0</v>
      </c>
      <c r="G14" s="667"/>
      <c r="H14" s="660"/>
      <c r="I14" s="660"/>
      <c r="J14" s="660"/>
      <c r="K14" s="660"/>
      <c r="L14" s="660"/>
      <c r="M14" s="660"/>
      <c r="N14" s="660"/>
      <c r="O14" s="660"/>
      <c r="P14" s="660"/>
      <c r="Q14" s="660"/>
      <c r="R14" s="660"/>
      <c r="S14" s="660"/>
      <c r="T14" s="660"/>
      <c r="U14" s="660"/>
      <c r="V14" s="660"/>
      <c r="W14" s="660"/>
      <c r="X14" s="660"/>
      <c r="Y14" s="660"/>
      <c r="Z14" s="660"/>
      <c r="AA14" s="660"/>
      <c r="AB14" s="660"/>
      <c r="AC14" s="660"/>
      <c r="AD14" s="660"/>
      <c r="AE14" s="660"/>
      <c r="AF14" s="660"/>
      <c r="AG14" s="660"/>
      <c r="AH14" s="660"/>
      <c r="AI14" s="660"/>
      <c r="AJ14" s="660"/>
      <c r="AK14" s="660"/>
      <c r="AL14" s="660"/>
      <c r="AM14" s="660"/>
      <c r="AN14" s="660"/>
      <c r="AO14" s="660"/>
      <c r="AP14" s="660"/>
      <c r="AQ14" s="660"/>
      <c r="AR14" s="660"/>
      <c r="AS14" s="660"/>
      <c r="AT14" s="660"/>
      <c r="AU14" s="660"/>
      <c r="AV14" s="660"/>
      <c r="AW14" s="660"/>
      <c r="AX14" s="660"/>
      <c r="AY14" s="660"/>
      <c r="AZ14" s="660"/>
      <c r="BA14" s="660"/>
      <c r="BB14" s="660"/>
      <c r="BC14" s="660"/>
      <c r="BD14" s="660"/>
      <c r="BE14" s="660"/>
      <c r="BF14" s="660"/>
      <c r="BG14" s="660"/>
      <c r="BH14" s="660"/>
    </row>
    <row r="15" spans="1:60" s="661" customFormat="1" ht="27.95" customHeight="1">
      <c r="A15" s="665">
        <v>409</v>
      </c>
      <c r="B15" s="1565" t="s">
        <v>3884</v>
      </c>
      <c r="C15" s="1565"/>
      <c r="D15" s="1565"/>
      <c r="E15" s="1566"/>
      <c r="F15" s="668">
        <f>+FLOOR(F12+F13+F14,100)*0.15</f>
        <v>0</v>
      </c>
      <c r="G15" s="667"/>
      <c r="H15" s="660"/>
      <c r="I15" s="660"/>
      <c r="J15" s="660"/>
      <c r="K15" s="660"/>
      <c r="L15" s="660"/>
      <c r="M15" s="660"/>
      <c r="N15" s="660"/>
      <c r="O15" s="660"/>
      <c r="P15" s="660"/>
      <c r="Q15" s="660"/>
      <c r="R15" s="660"/>
      <c r="S15" s="660"/>
      <c r="T15" s="660"/>
      <c r="U15" s="660"/>
      <c r="V15" s="660"/>
      <c r="W15" s="660"/>
      <c r="X15" s="660"/>
      <c r="Y15" s="660"/>
      <c r="Z15" s="660"/>
      <c r="AA15" s="660"/>
      <c r="AB15" s="660"/>
      <c r="AC15" s="660"/>
      <c r="AD15" s="660"/>
      <c r="AE15" s="660"/>
      <c r="AF15" s="660"/>
      <c r="AG15" s="660"/>
      <c r="AH15" s="660"/>
      <c r="AI15" s="660"/>
      <c r="AJ15" s="660"/>
      <c r="AK15" s="660"/>
      <c r="AL15" s="660"/>
      <c r="AM15" s="660"/>
      <c r="AN15" s="660"/>
      <c r="AO15" s="660"/>
      <c r="AP15" s="660"/>
      <c r="AQ15" s="660"/>
      <c r="AR15" s="660"/>
      <c r="AS15" s="660"/>
      <c r="AT15" s="660"/>
      <c r="AU15" s="660"/>
      <c r="AV15" s="660"/>
      <c r="AW15" s="660"/>
      <c r="AX15" s="660"/>
      <c r="AY15" s="660"/>
      <c r="AZ15" s="660"/>
      <c r="BA15" s="660"/>
      <c r="BB15" s="660"/>
      <c r="BC15" s="660"/>
      <c r="BD15" s="660"/>
      <c r="BE15" s="660"/>
      <c r="BF15" s="660"/>
      <c r="BG15" s="660"/>
      <c r="BH15" s="660"/>
    </row>
    <row r="16" spans="1:60" s="661" customFormat="1" ht="27.95" customHeight="1">
      <c r="A16" s="665">
        <v>410</v>
      </c>
      <c r="B16" s="1565" t="s">
        <v>3885</v>
      </c>
      <c r="C16" s="1565"/>
      <c r="D16" s="1565"/>
      <c r="E16" s="1566"/>
      <c r="F16" s="666">
        <v>0</v>
      </c>
      <c r="G16" s="667"/>
      <c r="H16" s="660"/>
      <c r="I16" s="660"/>
      <c r="J16" s="660"/>
      <c r="K16" s="660"/>
      <c r="L16" s="660"/>
      <c r="M16" s="660"/>
      <c r="N16" s="660"/>
      <c r="O16" s="660"/>
      <c r="P16" s="660"/>
      <c r="Q16" s="660"/>
      <c r="R16" s="660"/>
      <c r="S16" s="660"/>
      <c r="T16" s="660"/>
      <c r="U16" s="660"/>
      <c r="V16" s="660"/>
      <c r="W16" s="660"/>
      <c r="X16" s="660"/>
      <c r="Y16" s="660"/>
      <c r="Z16" s="660"/>
      <c r="AA16" s="660"/>
      <c r="AB16" s="660"/>
      <c r="AC16" s="660"/>
      <c r="AD16" s="660"/>
      <c r="AE16" s="660"/>
      <c r="AF16" s="660"/>
      <c r="AG16" s="660"/>
      <c r="AH16" s="660"/>
      <c r="AI16" s="660"/>
      <c r="AJ16" s="660"/>
      <c r="AK16" s="660"/>
      <c r="AL16" s="660"/>
      <c r="AM16" s="660"/>
      <c r="AN16" s="660"/>
      <c r="AO16" s="660"/>
      <c r="AP16" s="660"/>
      <c r="AQ16" s="660"/>
      <c r="AR16" s="660"/>
      <c r="AS16" s="660"/>
      <c r="AT16" s="660"/>
      <c r="AU16" s="660"/>
      <c r="AV16" s="660"/>
      <c r="AW16" s="660"/>
      <c r="AX16" s="660"/>
      <c r="AY16" s="660"/>
      <c r="AZ16" s="660"/>
      <c r="BA16" s="660"/>
      <c r="BB16" s="660"/>
      <c r="BC16" s="660"/>
      <c r="BD16" s="660"/>
      <c r="BE16" s="660"/>
      <c r="BF16" s="660"/>
      <c r="BG16" s="660"/>
      <c r="BH16" s="660"/>
    </row>
    <row r="17" spans="1:60" s="661" customFormat="1" ht="27.95" customHeight="1">
      <c r="A17" s="665">
        <v>411</v>
      </c>
      <c r="B17" s="1565" t="s">
        <v>3886</v>
      </c>
      <c r="C17" s="1565"/>
      <c r="D17" s="1565"/>
      <c r="E17" s="1566"/>
      <c r="F17" s="666">
        <v>0</v>
      </c>
      <c r="G17" s="667"/>
      <c r="H17" s="660"/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0"/>
      <c r="T17" s="660"/>
      <c r="U17" s="660"/>
      <c r="V17" s="660"/>
      <c r="W17" s="660"/>
      <c r="X17" s="660"/>
      <c r="Y17" s="660"/>
      <c r="Z17" s="660"/>
      <c r="AA17" s="660"/>
      <c r="AB17" s="660"/>
      <c r="AC17" s="660"/>
      <c r="AD17" s="660"/>
      <c r="AE17" s="660"/>
      <c r="AF17" s="660"/>
      <c r="AG17" s="660"/>
      <c r="AH17" s="660"/>
      <c r="AI17" s="660"/>
      <c r="AJ17" s="660"/>
      <c r="AK17" s="660"/>
      <c r="AL17" s="660"/>
      <c r="AM17" s="660"/>
      <c r="AN17" s="660"/>
      <c r="AO17" s="660"/>
      <c r="AP17" s="660"/>
      <c r="AQ17" s="660"/>
      <c r="AR17" s="660"/>
      <c r="AS17" s="660"/>
      <c r="AT17" s="660"/>
      <c r="AU17" s="660"/>
      <c r="AV17" s="660"/>
      <c r="AW17" s="660"/>
      <c r="AX17" s="660"/>
      <c r="AY17" s="660"/>
      <c r="AZ17" s="660"/>
      <c r="BA17" s="660"/>
      <c r="BB17" s="660"/>
      <c r="BC17" s="660"/>
      <c r="BD17" s="660"/>
      <c r="BE17" s="660"/>
      <c r="BF17" s="660"/>
      <c r="BG17" s="660"/>
      <c r="BH17" s="660"/>
    </row>
    <row r="18" spans="1:60" s="661" customFormat="1" ht="27.95" customHeight="1">
      <c r="A18" s="665">
        <v>412</v>
      </c>
      <c r="B18" s="1565" t="s">
        <v>3887</v>
      </c>
      <c r="C18" s="1565"/>
      <c r="D18" s="1565"/>
      <c r="E18" s="1566"/>
      <c r="F18" s="668">
        <f>+ROUND(MIN(F17,0.15*F16),0)</f>
        <v>0</v>
      </c>
      <c r="G18" s="667"/>
      <c r="H18" s="660"/>
      <c r="I18" s="660"/>
      <c r="J18" s="660"/>
      <c r="K18" s="660"/>
      <c r="L18" s="660"/>
      <c r="M18" s="660"/>
      <c r="N18" s="660"/>
      <c r="O18" s="660"/>
      <c r="P18" s="660"/>
      <c r="Q18" s="660"/>
      <c r="R18" s="660"/>
      <c r="S18" s="660"/>
      <c r="T18" s="660"/>
      <c r="U18" s="660"/>
      <c r="V18" s="660"/>
      <c r="W18" s="660"/>
      <c r="X18" s="660"/>
      <c r="Y18" s="660"/>
      <c r="Z18" s="660"/>
      <c r="AA18" s="660"/>
      <c r="AB18" s="660"/>
      <c r="AC18" s="660"/>
      <c r="AD18" s="660"/>
      <c r="AE18" s="660"/>
      <c r="AF18" s="660"/>
      <c r="AG18" s="660"/>
      <c r="AH18" s="660"/>
      <c r="AI18" s="660"/>
      <c r="AJ18" s="660"/>
      <c r="AK18" s="660"/>
      <c r="AL18" s="660"/>
      <c r="AM18" s="660"/>
      <c r="AN18" s="660"/>
      <c r="AO18" s="660"/>
      <c r="AP18" s="660"/>
      <c r="AQ18" s="660"/>
      <c r="AR18" s="660"/>
      <c r="AS18" s="660"/>
      <c r="AT18" s="660"/>
      <c r="AU18" s="660"/>
      <c r="AV18" s="660"/>
      <c r="AW18" s="660"/>
      <c r="AX18" s="660"/>
      <c r="AY18" s="660"/>
      <c r="AZ18" s="660"/>
      <c r="BA18" s="660"/>
      <c r="BB18" s="660"/>
      <c r="BC18" s="660"/>
      <c r="BD18" s="660"/>
      <c r="BE18" s="660"/>
      <c r="BF18" s="660"/>
      <c r="BG18" s="660"/>
      <c r="BH18" s="660"/>
    </row>
    <row r="19" spans="1:60" s="661" customFormat="1" ht="27.95" customHeight="1" thickBot="1">
      <c r="A19" s="665">
        <v>413</v>
      </c>
      <c r="B19" s="1565" t="s">
        <v>3888</v>
      </c>
      <c r="C19" s="1565"/>
      <c r="D19" s="1565"/>
      <c r="E19" s="1566"/>
      <c r="F19" s="668">
        <f>+F15-F18</f>
        <v>0</v>
      </c>
      <c r="G19" s="667"/>
      <c r="H19" s="660"/>
      <c r="I19" s="660"/>
      <c r="J19" s="660"/>
      <c r="K19" s="660"/>
      <c r="L19" s="660"/>
      <c r="M19" s="660"/>
      <c r="N19" s="660"/>
      <c r="O19" s="660"/>
      <c r="P19" s="660"/>
      <c r="Q19" s="660"/>
      <c r="R19" s="660"/>
      <c r="S19" s="660"/>
      <c r="T19" s="660"/>
      <c r="U19" s="660"/>
      <c r="V19" s="660"/>
      <c r="W19" s="660"/>
      <c r="X19" s="660"/>
      <c r="Y19" s="660"/>
      <c r="Z19" s="660"/>
      <c r="AA19" s="660"/>
      <c r="AB19" s="660"/>
      <c r="AC19" s="660"/>
      <c r="AD19" s="660"/>
      <c r="AE19" s="660"/>
      <c r="AF19" s="660"/>
      <c r="AG19" s="660"/>
      <c r="AH19" s="660"/>
      <c r="AI19" s="660"/>
      <c r="AJ19" s="660"/>
      <c r="AK19" s="660"/>
      <c r="AL19" s="660"/>
      <c r="AM19" s="660"/>
      <c r="AN19" s="660"/>
      <c r="AO19" s="660"/>
      <c r="AP19" s="660"/>
      <c r="AQ19" s="660"/>
      <c r="AR19" s="660"/>
      <c r="AS19" s="660"/>
      <c r="AT19" s="660"/>
      <c r="AU19" s="660"/>
      <c r="AV19" s="660"/>
      <c r="AW19" s="660"/>
      <c r="AX19" s="660"/>
      <c r="AY19" s="660"/>
      <c r="AZ19" s="660"/>
      <c r="BA19" s="660"/>
      <c r="BB19" s="660"/>
      <c r="BC19" s="660"/>
      <c r="BD19" s="660"/>
      <c r="BE19" s="660"/>
      <c r="BF19" s="660"/>
      <c r="BG19" s="660"/>
      <c r="BH19" s="660"/>
    </row>
    <row r="20" spans="1:60" ht="249.95" customHeight="1">
      <c r="A20" s="1567"/>
      <c r="B20" s="1550"/>
      <c r="C20" s="1550"/>
      <c r="D20" s="1550"/>
      <c r="E20" s="1550"/>
      <c r="F20" s="1550"/>
      <c r="G20" s="1550"/>
    </row>
    <row r="21" spans="1:60" ht="15.95" customHeight="1">
      <c r="A21" s="1568" t="str">
        <f>+'DAP1'!A46</f>
        <v>Formulář zpracovala ASPEKT HM, daňová, účetní a auditorská kancelář, www.danovapriznani.cz, business.center.cz</v>
      </c>
      <c r="B21" s="1568"/>
      <c r="C21" s="1568"/>
      <c r="D21" s="1568"/>
      <c r="E21" s="1568"/>
      <c r="F21" s="1568"/>
      <c r="G21" s="1568"/>
    </row>
    <row r="22" spans="1:60" s="670" customFormat="1" ht="12" customHeight="1">
      <c r="A22" s="1569" t="s">
        <v>3889</v>
      </c>
      <c r="B22" s="1569"/>
      <c r="C22" s="1569"/>
      <c r="D22" s="1569"/>
      <c r="E22" s="1569"/>
      <c r="F22" s="1569"/>
      <c r="G22" s="1569"/>
      <c r="H22" s="669"/>
      <c r="I22" s="669"/>
      <c r="J22" s="669"/>
      <c r="K22" s="669"/>
      <c r="L22" s="669"/>
      <c r="M22" s="669"/>
      <c r="N22" s="669"/>
      <c r="O22" s="669"/>
      <c r="P22" s="669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69"/>
      <c r="AO22" s="669"/>
      <c r="AP22" s="669"/>
      <c r="AQ22" s="669"/>
      <c r="AR22" s="669"/>
      <c r="AS22" s="669"/>
      <c r="AT22" s="669"/>
      <c r="AU22" s="669"/>
      <c r="AV22" s="669"/>
      <c r="AW22" s="669"/>
      <c r="AX22" s="669"/>
      <c r="AY22" s="669"/>
      <c r="AZ22" s="669"/>
      <c r="BA22" s="669"/>
      <c r="BB22" s="669"/>
      <c r="BC22" s="669"/>
      <c r="BD22" s="669"/>
      <c r="BE22" s="669"/>
      <c r="BF22" s="669"/>
      <c r="BG22" s="669"/>
      <c r="BH22" s="669"/>
    </row>
    <row r="23" spans="1:60">
      <c r="A23" s="1570" t="s">
        <v>300</v>
      </c>
      <c r="B23" s="1570"/>
      <c r="C23" s="1570"/>
      <c r="D23" s="1570"/>
      <c r="E23" s="1571"/>
      <c r="F23" s="1571"/>
      <c r="G23" s="1571"/>
    </row>
    <row r="24" spans="1:60">
      <c r="A24" s="659"/>
      <c r="B24" s="659"/>
      <c r="C24" s="659"/>
      <c r="D24" s="659"/>
      <c r="E24" s="659"/>
      <c r="F24" s="659"/>
      <c r="G24" s="659"/>
    </row>
    <row r="25" spans="1:60">
      <c r="A25" s="659"/>
      <c r="B25" s="659"/>
      <c r="C25" s="659"/>
      <c r="D25" s="659"/>
      <c r="E25" s="659"/>
      <c r="F25" s="659"/>
      <c r="G25" s="659"/>
    </row>
    <row r="26" spans="1:60">
      <c r="A26" s="659"/>
      <c r="B26" s="659"/>
      <c r="C26" s="659"/>
      <c r="D26" s="659"/>
      <c r="E26" s="659"/>
      <c r="F26" s="659"/>
      <c r="G26" s="659"/>
    </row>
    <row r="27" spans="1:60">
      <c r="A27" s="659"/>
      <c r="B27" s="659"/>
      <c r="C27" s="659"/>
      <c r="D27" s="659"/>
      <c r="E27" s="659"/>
      <c r="F27" s="659"/>
      <c r="G27" s="659"/>
    </row>
    <row r="28" spans="1:60">
      <c r="A28" s="659"/>
      <c r="B28" s="659"/>
      <c r="C28" s="659"/>
      <c r="D28" s="659"/>
      <c r="E28" s="659"/>
      <c r="F28" s="659"/>
      <c r="G28" s="659"/>
    </row>
    <row r="29" spans="1:60">
      <c r="A29" s="659"/>
      <c r="B29" s="659"/>
      <c r="C29" s="659"/>
      <c r="D29" s="659"/>
      <c r="E29" s="659"/>
      <c r="F29" s="659"/>
      <c r="G29" s="659"/>
    </row>
    <row r="30" spans="1:60">
      <c r="A30" s="659"/>
      <c r="B30" s="659"/>
      <c r="C30" s="659"/>
      <c r="D30" s="659"/>
      <c r="E30" s="659"/>
      <c r="F30" s="659"/>
      <c r="G30" s="659"/>
    </row>
    <row r="31" spans="1:60">
      <c r="A31" s="659"/>
      <c r="B31" s="659"/>
      <c r="C31" s="659"/>
      <c r="D31" s="659"/>
      <c r="E31" s="659"/>
      <c r="F31" s="659"/>
      <c r="G31" s="659"/>
    </row>
    <row r="32" spans="1:60">
      <c r="A32" s="659"/>
      <c r="B32" s="659"/>
      <c r="C32" s="659"/>
      <c r="D32" s="659"/>
      <c r="E32" s="659"/>
      <c r="F32" s="659"/>
      <c r="G32" s="659"/>
    </row>
    <row r="33" spans="1:7">
      <c r="A33" s="659"/>
      <c r="B33" s="659"/>
      <c r="C33" s="659"/>
      <c r="D33" s="659"/>
      <c r="E33" s="659"/>
      <c r="F33" s="659"/>
      <c r="G33" s="659"/>
    </row>
    <row r="34" spans="1:7">
      <c r="A34" s="659"/>
      <c r="B34" s="659"/>
      <c r="C34" s="659"/>
      <c r="D34" s="659"/>
      <c r="E34" s="659"/>
      <c r="F34" s="659"/>
      <c r="G34" s="659"/>
    </row>
    <row r="35" spans="1:7">
      <c r="A35" s="659"/>
      <c r="B35" s="659"/>
      <c r="C35" s="659"/>
      <c r="D35" s="659"/>
      <c r="E35" s="659"/>
      <c r="F35" s="659"/>
      <c r="G35" s="659"/>
    </row>
    <row r="36" spans="1:7">
      <c r="A36" s="659"/>
      <c r="B36" s="659"/>
      <c r="C36" s="659"/>
      <c r="D36" s="659"/>
      <c r="E36" s="659"/>
      <c r="F36" s="659"/>
      <c r="G36" s="659"/>
    </row>
    <row r="37" spans="1:7">
      <c r="A37" s="659"/>
      <c r="B37" s="659"/>
      <c r="C37" s="659"/>
      <c r="D37" s="659"/>
      <c r="E37" s="659"/>
      <c r="F37" s="659"/>
      <c r="G37" s="659"/>
    </row>
    <row r="38" spans="1:7">
      <c r="A38" s="659"/>
      <c r="B38" s="659"/>
      <c r="C38" s="659"/>
      <c r="D38" s="659"/>
      <c r="E38" s="659"/>
      <c r="F38" s="659"/>
      <c r="G38" s="659"/>
    </row>
    <row r="39" spans="1:7">
      <c r="A39" s="659"/>
      <c r="B39" s="659"/>
      <c r="C39" s="659"/>
      <c r="D39" s="659"/>
      <c r="E39" s="659"/>
      <c r="F39" s="659"/>
      <c r="G39" s="659"/>
    </row>
    <row r="40" spans="1:7">
      <c r="A40" s="659"/>
      <c r="B40" s="659"/>
      <c r="C40" s="659"/>
      <c r="D40" s="659"/>
      <c r="E40" s="659"/>
      <c r="F40" s="659"/>
      <c r="G40" s="659"/>
    </row>
    <row r="41" spans="1:7">
      <c r="A41" s="659"/>
      <c r="B41" s="659"/>
      <c r="C41" s="659"/>
      <c r="D41" s="659"/>
      <c r="E41" s="659"/>
      <c r="F41" s="659"/>
      <c r="G41" s="659"/>
    </row>
    <row r="42" spans="1:7">
      <c r="A42" s="659"/>
      <c r="B42" s="659"/>
      <c r="C42" s="659"/>
      <c r="D42" s="659"/>
      <c r="E42" s="659"/>
      <c r="F42" s="659"/>
      <c r="G42" s="659"/>
    </row>
    <row r="43" spans="1:7">
      <c r="A43" s="659"/>
      <c r="B43" s="659"/>
      <c r="C43" s="659"/>
      <c r="D43" s="659"/>
      <c r="E43" s="659"/>
      <c r="F43" s="659"/>
      <c r="G43" s="659"/>
    </row>
    <row r="44" spans="1:7">
      <c r="A44" s="659"/>
      <c r="B44" s="659"/>
      <c r="C44" s="659"/>
      <c r="D44" s="659"/>
      <c r="E44" s="659"/>
      <c r="F44" s="659"/>
      <c r="G44" s="659"/>
    </row>
    <row r="45" spans="1:7">
      <c r="A45" s="659"/>
      <c r="B45" s="659"/>
      <c r="C45" s="659"/>
      <c r="D45" s="659"/>
      <c r="E45" s="659"/>
      <c r="F45" s="659"/>
      <c r="G45" s="659"/>
    </row>
    <row r="46" spans="1:7">
      <c r="A46" s="659"/>
      <c r="B46" s="659"/>
      <c r="C46" s="659"/>
      <c r="D46" s="659"/>
      <c r="E46" s="659"/>
      <c r="F46" s="659"/>
      <c r="G46" s="659"/>
    </row>
    <row r="47" spans="1:7">
      <c r="A47" s="659"/>
      <c r="B47" s="659"/>
      <c r="C47" s="659"/>
      <c r="D47" s="659"/>
      <c r="E47" s="659"/>
      <c r="F47" s="659"/>
      <c r="G47" s="659"/>
    </row>
    <row r="48" spans="1:7">
      <c r="A48" s="659"/>
      <c r="B48" s="659"/>
      <c r="C48" s="659"/>
      <c r="D48" s="659"/>
      <c r="E48" s="659"/>
      <c r="F48" s="659"/>
      <c r="G48" s="659"/>
    </row>
    <row r="49" spans="1:7">
      <c r="A49" s="659"/>
      <c r="B49" s="659"/>
      <c r="C49" s="659"/>
      <c r="D49" s="659"/>
      <c r="E49" s="659"/>
      <c r="F49" s="659"/>
      <c r="G49" s="659"/>
    </row>
    <row r="50" spans="1:7">
      <c r="A50" s="659"/>
      <c r="B50" s="659"/>
      <c r="C50" s="659"/>
      <c r="D50" s="659"/>
      <c r="E50" s="659"/>
      <c r="F50" s="659"/>
      <c r="G50" s="659"/>
    </row>
    <row r="51" spans="1:7">
      <c r="A51" s="659"/>
      <c r="B51" s="659"/>
      <c r="C51" s="659"/>
      <c r="D51" s="659"/>
      <c r="E51" s="659"/>
      <c r="F51" s="659"/>
      <c r="G51" s="659"/>
    </row>
    <row r="52" spans="1:7">
      <c r="A52" s="659"/>
      <c r="B52" s="659"/>
      <c r="C52" s="659"/>
      <c r="D52" s="659"/>
      <c r="E52" s="659"/>
      <c r="F52" s="659"/>
      <c r="G52" s="659"/>
    </row>
    <row r="53" spans="1:7">
      <c r="A53" s="659"/>
      <c r="B53" s="659"/>
      <c r="C53" s="659"/>
      <c r="D53" s="659"/>
      <c r="E53" s="659"/>
      <c r="F53" s="659"/>
      <c r="G53" s="659"/>
    </row>
    <row r="54" spans="1:7">
      <c r="A54" s="659"/>
      <c r="B54" s="659"/>
      <c r="C54" s="659"/>
      <c r="D54" s="659"/>
      <c r="E54" s="659"/>
      <c r="F54" s="659"/>
      <c r="G54" s="659"/>
    </row>
    <row r="55" spans="1:7">
      <c r="A55" s="659"/>
      <c r="B55" s="659"/>
      <c r="C55" s="659"/>
      <c r="D55" s="659"/>
      <c r="E55" s="659"/>
      <c r="F55" s="659"/>
      <c r="G55" s="659"/>
    </row>
    <row r="56" spans="1:7">
      <c r="A56" s="659"/>
      <c r="B56" s="659"/>
      <c r="C56" s="659"/>
      <c r="D56" s="659"/>
      <c r="E56" s="659"/>
      <c r="F56" s="659"/>
      <c r="G56" s="659"/>
    </row>
    <row r="57" spans="1:7">
      <c r="A57" s="659"/>
      <c r="B57" s="659"/>
      <c r="C57" s="659"/>
      <c r="D57" s="659"/>
      <c r="E57" s="659"/>
      <c r="F57" s="659"/>
      <c r="G57" s="659"/>
    </row>
    <row r="58" spans="1:7">
      <c r="A58" s="659"/>
      <c r="B58" s="659"/>
      <c r="C58" s="659"/>
      <c r="D58" s="659"/>
      <c r="E58" s="659"/>
      <c r="F58" s="659"/>
      <c r="G58" s="659"/>
    </row>
    <row r="59" spans="1:7">
      <c r="A59" s="659"/>
      <c r="B59" s="659"/>
      <c r="C59" s="659"/>
      <c r="D59" s="659"/>
      <c r="E59" s="659"/>
      <c r="F59" s="659"/>
      <c r="G59" s="659"/>
    </row>
    <row r="60" spans="1:7">
      <c r="A60" s="659"/>
      <c r="B60" s="659"/>
      <c r="C60" s="659"/>
      <c r="D60" s="659"/>
      <c r="E60" s="659"/>
      <c r="F60" s="659"/>
      <c r="G60" s="659"/>
    </row>
    <row r="61" spans="1:7">
      <c r="A61" s="659"/>
      <c r="B61" s="659"/>
      <c r="C61" s="659"/>
      <c r="D61" s="659"/>
      <c r="E61" s="659"/>
      <c r="F61" s="659"/>
      <c r="G61" s="659"/>
    </row>
    <row r="62" spans="1:7">
      <c r="A62" s="659"/>
      <c r="B62" s="659"/>
      <c r="C62" s="659"/>
      <c r="D62" s="659"/>
      <c r="E62" s="659"/>
      <c r="F62" s="659"/>
      <c r="G62" s="659"/>
    </row>
    <row r="63" spans="1:7" s="659" customFormat="1"/>
    <row r="64" spans="1:7" s="659" customFormat="1"/>
    <row r="65" s="659" customFormat="1"/>
    <row r="66" s="659" customFormat="1"/>
    <row r="67" s="659" customFormat="1"/>
    <row r="68" s="659" customFormat="1"/>
    <row r="69" s="659" customFormat="1"/>
    <row r="70" s="659" customFormat="1"/>
    <row r="71" s="659" customFormat="1"/>
    <row r="72" s="659" customFormat="1"/>
    <row r="73" s="659" customFormat="1"/>
    <row r="74" s="659" customFormat="1"/>
    <row r="75" s="659" customFormat="1"/>
    <row r="76" s="659" customFormat="1"/>
    <row r="77" s="659" customFormat="1"/>
    <row r="78" s="659" customFormat="1"/>
    <row r="79" s="659" customFormat="1"/>
    <row r="80" s="659" customFormat="1"/>
    <row r="81" s="659" customFormat="1"/>
    <row r="82" s="659" customFormat="1"/>
    <row r="83" s="659" customFormat="1"/>
    <row r="84" s="659" customFormat="1"/>
    <row r="85" s="659" customFormat="1"/>
    <row r="86" s="659" customFormat="1"/>
    <row r="87" s="659" customFormat="1"/>
    <row r="88" s="659" customFormat="1"/>
    <row r="89" s="659" customFormat="1"/>
    <row r="90" s="659" customFormat="1"/>
    <row r="91" s="659" customFormat="1"/>
    <row r="92" s="659" customFormat="1"/>
    <row r="93" s="659" customFormat="1"/>
    <row r="94" s="659" customFormat="1"/>
    <row r="95" s="659" customFormat="1"/>
    <row r="96" s="659" customFormat="1"/>
    <row r="97" s="659" customFormat="1"/>
    <row r="98" s="659" customFormat="1"/>
    <row r="99" s="659" customFormat="1"/>
    <row r="100" s="659" customFormat="1"/>
    <row r="101" s="659" customFormat="1"/>
    <row r="102" s="659" customFormat="1"/>
    <row r="103" s="659" customFormat="1"/>
    <row r="104" s="659" customFormat="1"/>
    <row r="105" s="659" customFormat="1"/>
    <row r="106" s="659" customFormat="1"/>
    <row r="107" s="659" customFormat="1"/>
    <row r="108" s="659" customFormat="1"/>
    <row r="109" s="659" customFormat="1"/>
    <row r="110" s="659" customFormat="1"/>
    <row r="111" s="659" customFormat="1"/>
    <row r="112" s="659" customFormat="1"/>
    <row r="113" s="659" customFormat="1"/>
    <row r="114" s="659" customFormat="1"/>
  </sheetData>
  <sheetProtection algorithmName="SHA-512" hashValue="4A4OhIPfWJSLpp1QREDicrDMohX+n+6qm6FLQ5ODGJE5oi898t4WcPxb99hiMH0/6kwgsOIEVekhGDozMzhpjg==" saltValue="eu7ydAMzgcrL6R6nPly72g==" spinCount="100000" sheet="1" objects="1" scenarios="1"/>
  <mergeCells count="24">
    <mergeCell ref="B19:E19"/>
    <mergeCell ref="A20:G20"/>
    <mergeCell ref="A21:G21"/>
    <mergeCell ref="A22:G22"/>
    <mergeCell ref="A23:G23"/>
    <mergeCell ref="B18:E18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A5:E6"/>
    <mergeCell ref="F5:G5"/>
    <mergeCell ref="A1:C1"/>
    <mergeCell ref="D1:F1"/>
    <mergeCell ref="A2:F2"/>
    <mergeCell ref="A3:G3"/>
    <mergeCell ref="A4:G4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114"/>
  <sheetViews>
    <sheetView workbookViewId="0">
      <selection activeCell="F12" sqref="F12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8"/>
  </cols>
  <sheetData>
    <row r="1" spans="1:60" s="146" customFormat="1" ht="16.5" thickBot="1">
      <c r="A1" s="1382"/>
      <c r="B1" s="789"/>
      <c r="C1" s="789"/>
      <c r="D1" s="1478" t="s">
        <v>185</v>
      </c>
      <c r="E1" s="1525"/>
      <c r="F1" s="1352"/>
      <c r="G1" s="262">
        <v>1</v>
      </c>
      <c r="H1" s="78"/>
      <c r="I1" s="78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</row>
    <row r="2" spans="1:60" s="90" customFormat="1" ht="24" customHeight="1">
      <c r="A2" s="1381"/>
      <c r="B2" s="1381"/>
      <c r="C2" s="1381"/>
      <c r="D2" s="1381"/>
      <c r="E2" s="1381"/>
      <c r="F2" s="1381"/>
      <c r="G2" s="120"/>
      <c r="H2" s="78"/>
      <c r="I2" s="78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</row>
    <row r="3" spans="1:60" s="90" customFormat="1" ht="36" customHeight="1">
      <c r="A3" s="1572" t="s">
        <v>186</v>
      </c>
      <c r="B3" s="1573"/>
      <c r="C3" s="1573"/>
      <c r="D3" s="1573"/>
      <c r="E3" s="1573"/>
      <c r="F3" s="1573"/>
      <c r="G3" s="1573"/>
      <c r="H3" s="78"/>
      <c r="I3" s="78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</row>
    <row r="4" spans="1:60" s="146" customFormat="1" ht="18" customHeight="1">
      <c r="A4" s="1574" t="s">
        <v>188</v>
      </c>
      <c r="B4" s="1575"/>
      <c r="C4" s="1575"/>
      <c r="D4" s="1575"/>
      <c r="E4" s="1575"/>
      <c r="F4" s="1575"/>
      <c r="G4" s="1575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</row>
    <row r="5" spans="1:60" ht="18" customHeight="1">
      <c r="A5" s="1576" t="s">
        <v>3676</v>
      </c>
      <c r="B5" s="1577"/>
      <c r="C5" s="1577"/>
      <c r="D5" s="1577"/>
      <c r="E5" s="1577"/>
      <c r="F5" s="1577"/>
      <c r="G5" s="1577"/>
    </row>
    <row r="6" spans="1:60" ht="18" customHeight="1">
      <c r="A6" s="1578" t="s">
        <v>108</v>
      </c>
      <c r="B6" s="1579"/>
      <c r="C6" s="1579"/>
      <c r="D6" s="1579"/>
      <c r="E6" s="1579"/>
      <c r="F6" s="1579"/>
      <c r="G6" s="1579"/>
    </row>
    <row r="7" spans="1:60" ht="18" customHeight="1">
      <c r="A7" s="1580"/>
      <c r="B7" s="1581"/>
      <c r="C7" s="1581"/>
      <c r="D7" s="1581"/>
      <c r="E7" s="1581"/>
      <c r="F7" s="1581"/>
      <c r="G7" s="1581"/>
    </row>
    <row r="8" spans="1:60" ht="24" customHeight="1">
      <c r="A8" s="1521" t="s">
        <v>3675</v>
      </c>
      <c r="B8" s="1229"/>
      <c r="C8" s="148"/>
      <c r="D8" s="1522"/>
      <c r="E8" s="843"/>
      <c r="F8" s="843"/>
      <c r="G8" s="843"/>
    </row>
    <row r="9" spans="1:60" ht="8.1" customHeight="1" thickBot="1">
      <c r="A9" s="1523"/>
      <c r="B9" s="1524"/>
      <c r="C9" s="1524"/>
      <c r="D9" s="1524"/>
      <c r="E9" s="1524"/>
      <c r="F9" s="1524"/>
      <c r="G9" s="1524"/>
    </row>
    <row r="10" spans="1:60" ht="15" customHeight="1">
      <c r="A10" s="1587"/>
      <c r="B10" s="841"/>
      <c r="C10" s="841"/>
      <c r="D10" s="841"/>
      <c r="E10" s="1588"/>
      <c r="F10" s="1590" t="s">
        <v>261</v>
      </c>
      <c r="G10" s="1591"/>
    </row>
    <row r="11" spans="1:60" ht="15" customHeight="1">
      <c r="A11" s="1589"/>
      <c r="B11" s="937"/>
      <c r="C11" s="937"/>
      <c r="D11" s="937"/>
      <c r="E11" s="938"/>
      <c r="F11" s="79" t="s">
        <v>149</v>
      </c>
      <c r="G11" s="89" t="s">
        <v>157</v>
      </c>
    </row>
    <row r="12" spans="1:60" ht="24" customHeight="1">
      <c r="A12" s="259">
        <v>321</v>
      </c>
      <c r="B12" s="1531" t="s">
        <v>254</v>
      </c>
      <c r="C12" s="1531"/>
      <c r="D12" s="1531"/>
      <c r="E12" s="1532"/>
      <c r="F12" s="113">
        <v>0</v>
      </c>
      <c r="G12" s="70"/>
    </row>
    <row r="13" spans="1:60" ht="24" customHeight="1">
      <c r="A13" s="259">
        <v>322</v>
      </c>
      <c r="B13" s="1531" t="s">
        <v>255</v>
      </c>
      <c r="C13" s="1531"/>
      <c r="D13" s="1531"/>
      <c r="E13" s="1532"/>
      <c r="F13" s="113">
        <v>0</v>
      </c>
      <c r="G13" s="70"/>
    </row>
    <row r="14" spans="1:60" ht="24" customHeight="1">
      <c r="A14" s="259">
        <v>323</v>
      </c>
      <c r="B14" s="1531" t="s">
        <v>113</v>
      </c>
      <c r="C14" s="1531"/>
      <c r="D14" s="1531"/>
      <c r="E14" s="1532"/>
      <c r="F14" s="113">
        <v>0</v>
      </c>
      <c r="G14" s="70"/>
    </row>
    <row r="15" spans="1:60" ht="24" customHeight="1">
      <c r="A15" s="259">
        <v>324</v>
      </c>
      <c r="B15" s="1531" t="s">
        <v>3890</v>
      </c>
      <c r="C15" s="1531"/>
      <c r="D15" s="1531"/>
      <c r="E15" s="1532"/>
      <c r="F15" s="170">
        <f>ROUND(+IF(+IF(IF('DAP2'!E16=0,0,(F12-F13)/'DAP2'!E16)&lt;0,0,IF('DAP2'!E16=0,0,(F12-F13)/'DAP2'!E16))&gt;1,1,+IF(IF('DAP2'!E16=0,0,(F12-F13)/'DAP2'!E16)&lt;0,0,IF('DAP2'!E16=0,0,(F12-F13)/'DAP2'!E16))),4)</f>
        <v>0</v>
      </c>
      <c r="G15" s="70"/>
    </row>
    <row r="16" spans="1:60" ht="24" customHeight="1">
      <c r="A16" s="259">
        <v>325</v>
      </c>
      <c r="B16" s="1531" t="s">
        <v>3891</v>
      </c>
      <c r="C16" s="1531"/>
      <c r="D16" s="1531"/>
      <c r="E16" s="1532"/>
      <c r="F16" s="270">
        <f>ROUND((+'DAP2'!F34+'DAP2'!F37)*F15,2)</f>
        <v>0</v>
      </c>
      <c r="G16" s="70"/>
    </row>
    <row r="17" spans="1:60" ht="24" customHeight="1" thickBot="1">
      <c r="A17" s="260">
        <v>326</v>
      </c>
      <c r="B17" s="1533" t="s">
        <v>144</v>
      </c>
      <c r="C17" s="1533"/>
      <c r="D17" s="1533"/>
      <c r="E17" s="1534"/>
      <c r="F17" s="271">
        <f>+MIN(F14,F16)</f>
        <v>0</v>
      </c>
      <c r="G17" s="87"/>
    </row>
    <row r="18" spans="1:60" ht="24" customHeight="1" thickBot="1">
      <c r="A18" s="261">
        <v>327</v>
      </c>
      <c r="B18" s="1585" t="s">
        <v>3677</v>
      </c>
      <c r="C18" s="1585"/>
      <c r="D18" s="1585"/>
      <c r="E18" s="1586"/>
      <c r="F18" s="272">
        <f>+F14-F17</f>
        <v>0</v>
      </c>
      <c r="G18" s="88"/>
    </row>
    <row r="19" spans="1:60" ht="24" customHeight="1">
      <c r="A19" s="1582" t="s">
        <v>3530</v>
      </c>
      <c r="B19" s="1583"/>
      <c r="C19" s="1583"/>
      <c r="D19" s="1583"/>
      <c r="E19" s="1583"/>
      <c r="F19" s="1583"/>
      <c r="G19" s="1583"/>
    </row>
    <row r="20" spans="1:60" ht="330" customHeight="1">
      <c r="A20" s="1584"/>
      <c r="B20" s="815"/>
      <c r="C20" s="815"/>
      <c r="D20" s="815"/>
      <c r="E20" s="815"/>
      <c r="F20" s="815"/>
      <c r="G20" s="815"/>
    </row>
    <row r="21" spans="1:60" ht="15.95" customHeight="1">
      <c r="A21" s="1536" t="str">
        <f>+'DAP1'!A46</f>
        <v>Formulář zpracovala ASPEKT HM, daňová, účetní a auditorská kancelář, www.danovapriznani.cz, business.center.cz</v>
      </c>
      <c r="B21" s="1536"/>
      <c r="C21" s="1536"/>
      <c r="D21" s="1536"/>
      <c r="E21" s="1536"/>
      <c r="F21" s="1536"/>
      <c r="G21" s="1536"/>
    </row>
    <row r="22" spans="1:60" s="169" customFormat="1" ht="12" customHeight="1">
      <c r="A22" s="1535" t="s">
        <v>3892</v>
      </c>
      <c r="B22" s="1535"/>
      <c r="C22" s="1535"/>
      <c r="D22" s="1535"/>
      <c r="E22" s="1535"/>
      <c r="F22" s="1535"/>
      <c r="G22" s="1535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</row>
    <row r="23" spans="1:60">
      <c r="A23" s="1529" t="s">
        <v>300</v>
      </c>
      <c r="B23" s="1529"/>
      <c r="C23" s="1529"/>
      <c r="D23" s="1529"/>
      <c r="E23" s="1530"/>
      <c r="F23" s="1530"/>
      <c r="G23" s="1530"/>
    </row>
    <row r="24" spans="1:60">
      <c r="A24" s="78"/>
      <c r="B24" s="78"/>
      <c r="C24" s="78"/>
      <c r="D24" s="78"/>
      <c r="E24" s="78"/>
      <c r="F24" s="78"/>
      <c r="G24" s="78"/>
    </row>
    <row r="25" spans="1:60">
      <c r="A25" s="78"/>
      <c r="B25" s="78"/>
      <c r="C25" s="78"/>
      <c r="D25" s="78"/>
      <c r="E25" s="78"/>
      <c r="F25" s="78"/>
      <c r="G25" s="78"/>
    </row>
    <row r="26" spans="1:60">
      <c r="A26" s="78"/>
      <c r="B26" s="78"/>
      <c r="C26" s="78"/>
      <c r="D26" s="78"/>
      <c r="E26" s="78"/>
      <c r="F26" s="78"/>
      <c r="G26" s="78"/>
    </row>
    <row r="27" spans="1:60">
      <c r="A27" s="78"/>
      <c r="B27" s="78"/>
      <c r="C27" s="78"/>
      <c r="D27" s="78"/>
      <c r="E27" s="78"/>
      <c r="F27" s="78"/>
      <c r="G27" s="78"/>
    </row>
    <row r="28" spans="1:60">
      <c r="A28" s="78"/>
      <c r="B28" s="78"/>
      <c r="C28" s="78"/>
      <c r="D28" s="78"/>
      <c r="E28" s="78"/>
      <c r="F28" s="78"/>
      <c r="G28" s="78"/>
    </row>
    <row r="29" spans="1:60">
      <c r="A29" s="78"/>
      <c r="B29" s="78"/>
      <c r="C29" s="78"/>
      <c r="D29" s="78"/>
      <c r="E29" s="78"/>
      <c r="F29" s="78"/>
      <c r="G29" s="78"/>
    </row>
    <row r="30" spans="1:60">
      <c r="A30" s="78"/>
      <c r="B30" s="78"/>
      <c r="C30" s="78"/>
      <c r="D30" s="78"/>
      <c r="E30" s="78"/>
      <c r="F30" s="78"/>
      <c r="G30" s="78"/>
    </row>
    <row r="31" spans="1:60">
      <c r="A31" s="78"/>
      <c r="B31" s="78"/>
      <c r="C31" s="78"/>
      <c r="D31" s="78"/>
      <c r="E31" s="78"/>
      <c r="F31" s="78"/>
      <c r="G31" s="78"/>
    </row>
    <row r="32" spans="1:60">
      <c r="A32" s="78"/>
      <c r="B32" s="78"/>
      <c r="C32" s="78"/>
      <c r="D32" s="78"/>
      <c r="E32" s="78"/>
      <c r="F32" s="78"/>
      <c r="G32" s="78"/>
    </row>
    <row r="33" spans="1:7">
      <c r="A33" s="78"/>
      <c r="B33" s="78"/>
      <c r="C33" s="78"/>
      <c r="D33" s="78"/>
      <c r="E33" s="78"/>
      <c r="F33" s="78"/>
      <c r="G33" s="78"/>
    </row>
    <row r="34" spans="1:7">
      <c r="A34" s="78"/>
      <c r="B34" s="78"/>
      <c r="C34" s="78"/>
      <c r="D34" s="78"/>
      <c r="E34" s="78"/>
      <c r="F34" s="78"/>
      <c r="G34" s="78"/>
    </row>
    <row r="35" spans="1:7">
      <c r="A35" s="78"/>
      <c r="B35" s="78"/>
      <c r="C35" s="78"/>
      <c r="D35" s="78"/>
      <c r="E35" s="78"/>
      <c r="F35" s="78"/>
      <c r="G35" s="78"/>
    </row>
    <row r="36" spans="1:7">
      <c r="A36" s="78"/>
      <c r="B36" s="78"/>
      <c r="C36" s="78"/>
      <c r="D36" s="78"/>
      <c r="E36" s="78"/>
      <c r="F36" s="78"/>
      <c r="G36" s="78"/>
    </row>
    <row r="37" spans="1:7">
      <c r="A37" s="78"/>
      <c r="B37" s="78"/>
      <c r="C37" s="78"/>
      <c r="D37" s="78"/>
      <c r="E37" s="78"/>
      <c r="F37" s="78"/>
      <c r="G37" s="78"/>
    </row>
    <row r="38" spans="1:7">
      <c r="A38" s="78"/>
      <c r="B38" s="78"/>
      <c r="C38" s="78"/>
      <c r="D38" s="78"/>
      <c r="E38" s="78"/>
      <c r="F38" s="78"/>
      <c r="G38" s="78"/>
    </row>
    <row r="39" spans="1:7">
      <c r="A39" s="78"/>
      <c r="B39" s="78"/>
      <c r="C39" s="78"/>
      <c r="D39" s="78"/>
      <c r="E39" s="78"/>
      <c r="F39" s="78"/>
      <c r="G39" s="78"/>
    </row>
    <row r="40" spans="1:7">
      <c r="A40" s="78"/>
      <c r="B40" s="78"/>
      <c r="C40" s="78"/>
      <c r="D40" s="78"/>
      <c r="E40" s="78"/>
      <c r="F40" s="78"/>
      <c r="G40" s="78"/>
    </row>
    <row r="41" spans="1:7">
      <c r="A41" s="78"/>
      <c r="B41" s="78"/>
      <c r="C41" s="78"/>
      <c r="D41" s="78"/>
      <c r="E41" s="78"/>
      <c r="F41" s="78"/>
      <c r="G41" s="78"/>
    </row>
    <row r="42" spans="1:7">
      <c r="A42" s="78"/>
      <c r="B42" s="78"/>
      <c r="C42" s="78"/>
      <c r="D42" s="78"/>
      <c r="E42" s="78"/>
      <c r="F42" s="78"/>
      <c r="G42" s="78"/>
    </row>
    <row r="43" spans="1:7">
      <c r="A43" s="78"/>
      <c r="B43" s="78"/>
      <c r="C43" s="78"/>
      <c r="D43" s="78"/>
      <c r="E43" s="78"/>
      <c r="F43" s="78"/>
      <c r="G43" s="78"/>
    </row>
    <row r="44" spans="1:7">
      <c r="A44" s="78"/>
      <c r="B44" s="78"/>
      <c r="C44" s="78"/>
      <c r="D44" s="78"/>
      <c r="E44" s="78"/>
      <c r="F44" s="78"/>
      <c r="G44" s="78"/>
    </row>
    <row r="45" spans="1:7">
      <c r="A45" s="78"/>
      <c r="B45" s="78"/>
      <c r="C45" s="78"/>
      <c r="D45" s="78"/>
      <c r="E45" s="78"/>
      <c r="F45" s="78"/>
      <c r="G45" s="78"/>
    </row>
    <row r="46" spans="1:7">
      <c r="A46" s="78"/>
      <c r="B46" s="78"/>
      <c r="C46" s="78"/>
      <c r="D46" s="78"/>
      <c r="E46" s="78"/>
      <c r="F46" s="78"/>
      <c r="G46" s="78"/>
    </row>
    <row r="47" spans="1:7">
      <c r="A47" s="78"/>
      <c r="B47" s="78"/>
      <c r="C47" s="78"/>
      <c r="D47" s="78"/>
      <c r="E47" s="78"/>
      <c r="F47" s="78"/>
      <c r="G47" s="78"/>
    </row>
    <row r="48" spans="1:7">
      <c r="A48" s="78"/>
      <c r="B48" s="78"/>
      <c r="C48" s="78"/>
      <c r="D48" s="78"/>
      <c r="E48" s="78"/>
      <c r="F48" s="78"/>
      <c r="G48" s="78"/>
    </row>
    <row r="49" spans="1:7">
      <c r="A49" s="78"/>
      <c r="B49" s="78"/>
      <c r="C49" s="78"/>
      <c r="D49" s="78"/>
      <c r="E49" s="78"/>
      <c r="F49" s="78"/>
      <c r="G49" s="78"/>
    </row>
    <row r="50" spans="1:7">
      <c r="A50" s="78"/>
      <c r="B50" s="78"/>
      <c r="C50" s="78"/>
      <c r="D50" s="78"/>
      <c r="E50" s="78"/>
      <c r="F50" s="78"/>
      <c r="G50" s="78"/>
    </row>
    <row r="51" spans="1:7">
      <c r="A51" s="78"/>
      <c r="B51" s="78"/>
      <c r="C51" s="78"/>
      <c r="D51" s="78"/>
      <c r="E51" s="78"/>
      <c r="F51" s="78"/>
      <c r="G51" s="78"/>
    </row>
    <row r="52" spans="1:7">
      <c r="A52" s="78"/>
      <c r="B52" s="78"/>
      <c r="C52" s="78"/>
      <c r="D52" s="78"/>
      <c r="E52" s="78"/>
      <c r="F52" s="78"/>
      <c r="G52" s="78"/>
    </row>
    <row r="53" spans="1:7">
      <c r="A53" s="78"/>
      <c r="B53" s="78"/>
      <c r="C53" s="78"/>
      <c r="D53" s="78"/>
      <c r="E53" s="78"/>
      <c r="F53" s="78"/>
      <c r="G53" s="78"/>
    </row>
    <row r="54" spans="1:7">
      <c r="A54" s="78"/>
      <c r="B54" s="78"/>
      <c r="C54" s="78"/>
      <c r="D54" s="78"/>
      <c r="E54" s="78"/>
      <c r="F54" s="78"/>
      <c r="G54" s="78"/>
    </row>
    <row r="55" spans="1:7">
      <c r="A55" s="78"/>
      <c r="B55" s="78"/>
      <c r="C55" s="78"/>
      <c r="D55" s="78"/>
      <c r="E55" s="78"/>
      <c r="F55" s="78"/>
      <c r="G55" s="78"/>
    </row>
    <row r="56" spans="1:7">
      <c r="A56" s="78"/>
      <c r="B56" s="78"/>
      <c r="C56" s="78"/>
      <c r="D56" s="78"/>
      <c r="E56" s="78"/>
      <c r="F56" s="78"/>
      <c r="G56" s="78"/>
    </row>
    <row r="57" spans="1:7">
      <c r="A57" s="78"/>
      <c r="B57" s="78"/>
      <c r="C57" s="78"/>
      <c r="D57" s="78"/>
      <c r="E57" s="78"/>
      <c r="F57" s="78"/>
      <c r="G57" s="78"/>
    </row>
    <row r="58" spans="1:7">
      <c r="A58" s="78"/>
      <c r="B58" s="78"/>
      <c r="C58" s="78"/>
      <c r="D58" s="78"/>
      <c r="E58" s="78"/>
      <c r="F58" s="78"/>
      <c r="G58" s="78"/>
    </row>
    <row r="59" spans="1:7">
      <c r="A59" s="78"/>
      <c r="B59" s="78"/>
      <c r="C59" s="78"/>
      <c r="D59" s="78"/>
      <c r="E59" s="78"/>
      <c r="F59" s="78"/>
      <c r="G59" s="78"/>
    </row>
    <row r="60" spans="1:7">
      <c r="A60" s="78"/>
      <c r="B60" s="78"/>
      <c r="C60" s="78"/>
      <c r="D60" s="78"/>
      <c r="E60" s="78"/>
      <c r="F60" s="78"/>
      <c r="G60" s="78"/>
    </row>
    <row r="61" spans="1:7">
      <c r="A61" s="78"/>
      <c r="B61" s="78"/>
      <c r="C61" s="78"/>
      <c r="D61" s="78"/>
      <c r="E61" s="78"/>
      <c r="F61" s="78"/>
      <c r="G61" s="78"/>
    </row>
    <row r="62" spans="1:7">
      <c r="A62" s="78"/>
      <c r="B62" s="78"/>
      <c r="C62" s="78"/>
      <c r="D62" s="78"/>
      <c r="E62" s="78"/>
      <c r="F62" s="78"/>
      <c r="G62" s="78"/>
    </row>
    <row r="63" spans="1:7">
      <c r="A63" s="78"/>
      <c r="B63" s="78"/>
      <c r="C63" s="78"/>
      <c r="D63" s="78"/>
      <c r="E63" s="78"/>
      <c r="F63" s="78"/>
      <c r="G63" s="78"/>
    </row>
    <row r="64" spans="1:7">
      <c r="A64" s="78"/>
      <c r="B64" s="78"/>
      <c r="C64" s="78"/>
      <c r="D64" s="78"/>
      <c r="E64" s="78"/>
      <c r="F64" s="78"/>
      <c r="G64" s="78"/>
    </row>
    <row r="65" s="78" customFormat="1"/>
    <row r="66" s="78" customFormat="1"/>
    <row r="67" s="78" customFormat="1"/>
    <row r="68" s="78" customFormat="1"/>
    <row r="69" s="78" customFormat="1"/>
    <row r="70" s="78" customFormat="1"/>
    <row r="71" s="78" customFormat="1"/>
    <row r="72" s="78" customFormat="1"/>
    <row r="73" s="78" customFormat="1"/>
    <row r="74" s="78" customFormat="1"/>
    <row r="75" s="78" customFormat="1"/>
    <row r="76" s="78" customFormat="1"/>
    <row r="77" s="78" customFormat="1"/>
    <row r="78" s="78" customFormat="1"/>
    <row r="79" s="78" customFormat="1"/>
    <row r="80" s="78" customFormat="1"/>
    <row r="81" s="78" customFormat="1"/>
    <row r="82" s="78" customFormat="1"/>
    <row r="83" s="78" customFormat="1"/>
    <row r="84" s="78" customFormat="1"/>
    <row r="85" s="78" customFormat="1"/>
    <row r="86" s="78" customFormat="1"/>
    <row r="87" s="78" customFormat="1"/>
    <row r="88" s="78" customFormat="1"/>
    <row r="89" s="78" customFormat="1"/>
    <row r="90" s="78" customFormat="1"/>
    <row r="91" s="78" customFormat="1"/>
    <row r="92" s="78" customFormat="1"/>
    <row r="93" s="78" customFormat="1"/>
    <row r="94" s="78" customFormat="1"/>
    <row r="95" s="78" customFormat="1"/>
    <row r="96" s="78" customFormat="1"/>
    <row r="97" s="78" customFormat="1"/>
    <row r="98" s="78" customFormat="1"/>
    <row r="99" s="78" customFormat="1"/>
    <row r="100" s="78" customFormat="1"/>
    <row r="101" s="78" customFormat="1"/>
    <row r="102" s="78" customFormat="1"/>
    <row r="103" s="78" customFormat="1"/>
    <row r="104" s="78" customFormat="1"/>
    <row r="105" s="78" customFormat="1"/>
    <row r="106" s="78" customFormat="1"/>
    <row r="107" s="78" customFormat="1"/>
    <row r="108" s="78" customFormat="1"/>
    <row r="109" s="78" customFormat="1"/>
    <row r="110" s="78" customFormat="1"/>
    <row r="111" s="78" customFormat="1"/>
    <row r="112" s="78" customFormat="1"/>
    <row r="113" s="78" customFormat="1"/>
    <row r="114" s="78" customFormat="1"/>
  </sheetData>
  <sheetProtection algorithmName="SHA-512" hashValue="//dTVtLgOYHhCTzGr4XxkIJ8qrhtQKUeF/49EwRPNSdDJbs6c0OTgWsLGKr9CY8hzK8fpTiE93DBJjxo1FVCPQ==" saltValue="CUAWzNA7b8CiAYpknfR18A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61"/>
  <sheetViews>
    <sheetView workbookViewId="0">
      <selection activeCell="B13" sqref="B13"/>
    </sheetView>
  </sheetViews>
  <sheetFormatPr defaultRowHeight="12.75"/>
  <cols>
    <col min="2" max="6" width="18.7109375" customWidth="1"/>
    <col min="7" max="38" width="9.140625" style="27"/>
  </cols>
  <sheetData>
    <row r="1" spans="1:38" ht="20.100000000000001" customHeight="1" thickBot="1">
      <c r="A1" s="1598"/>
      <c r="B1" s="1598"/>
      <c r="C1" s="1603" t="s">
        <v>37</v>
      </c>
      <c r="D1" s="1604"/>
      <c r="E1" s="1605"/>
      <c r="F1" s="178" t="str">
        <f>+'2Př'!I1</f>
        <v/>
      </c>
    </row>
    <row r="2" spans="1:38" ht="27.95" customHeight="1">
      <c r="A2" s="1598"/>
      <c r="B2" s="1598"/>
      <c r="C2" s="1598"/>
      <c r="D2" s="1598"/>
      <c r="E2" s="1598"/>
      <c r="F2" s="1598"/>
    </row>
    <row r="3" spans="1:38" ht="27.95" customHeight="1">
      <c r="A3" s="1606" t="s">
        <v>183</v>
      </c>
      <c r="B3" s="1606"/>
      <c r="C3" s="1606"/>
      <c r="D3" s="1606"/>
      <c r="E3" s="1606"/>
      <c r="F3" s="1606"/>
    </row>
    <row r="4" spans="1:38" ht="27.95" customHeight="1" thickBot="1">
      <c r="A4" s="1598"/>
      <c r="B4" s="1598"/>
      <c r="C4" s="1598"/>
      <c r="D4" s="1598"/>
      <c r="E4" s="1598"/>
      <c r="F4" s="1598"/>
    </row>
    <row r="5" spans="1:38" s="174" customFormat="1" ht="18.75" thickBot="1">
      <c r="A5" s="1607" t="s">
        <v>125</v>
      </c>
      <c r="B5" s="1607"/>
      <c r="C5" s="1607"/>
      <c r="D5" s="1607"/>
      <c r="E5" s="1608"/>
      <c r="F5" s="175">
        <f>+'DAP1'!F24</f>
        <v>2021</v>
      </c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</row>
    <row r="6" spans="1:38" ht="18">
      <c r="A6" s="1596" t="s">
        <v>184</v>
      </c>
      <c r="B6" s="1596"/>
      <c r="C6" s="1596"/>
      <c r="D6" s="1596"/>
      <c r="E6" s="1596"/>
      <c r="F6" s="1596"/>
    </row>
    <row r="7" spans="1:38" ht="15">
      <c r="A7" s="1597" t="s">
        <v>45</v>
      </c>
      <c r="B7" s="1597"/>
      <c r="C7" s="1597"/>
      <c r="D7" s="1597"/>
      <c r="E7" s="1597"/>
      <c r="F7" s="1597"/>
    </row>
    <row r="8" spans="1:38" ht="13.5" thickBot="1">
      <c r="A8" s="1598"/>
      <c r="B8" s="1598"/>
      <c r="C8" s="1598"/>
      <c r="D8" s="1598"/>
      <c r="E8" s="1598"/>
      <c r="F8" s="1598"/>
    </row>
    <row r="9" spans="1:38">
      <c r="A9" s="216" t="s">
        <v>177</v>
      </c>
      <c r="B9" s="217" t="s">
        <v>182</v>
      </c>
      <c r="C9" s="217" t="s">
        <v>181</v>
      </c>
      <c r="D9" s="217" t="s">
        <v>180</v>
      </c>
      <c r="E9" s="217" t="s">
        <v>179</v>
      </c>
      <c r="F9" s="218" t="s">
        <v>178</v>
      </c>
    </row>
    <row r="10" spans="1:38" ht="12.75" customHeight="1">
      <c r="A10" s="1599" t="s">
        <v>6</v>
      </c>
      <c r="B10" s="1594" t="s">
        <v>3801</v>
      </c>
      <c r="C10" s="1594" t="s">
        <v>3802</v>
      </c>
      <c r="D10" s="1594" t="s">
        <v>3803</v>
      </c>
      <c r="E10" s="1594" t="s">
        <v>3804</v>
      </c>
      <c r="F10" s="1601" t="s">
        <v>3805</v>
      </c>
    </row>
    <row r="11" spans="1:38" ht="45.75" customHeight="1">
      <c r="A11" s="1599"/>
      <c r="B11" s="1594"/>
      <c r="C11" s="1594"/>
      <c r="D11" s="1595"/>
      <c r="E11" s="1595"/>
      <c r="F11" s="1602"/>
    </row>
    <row r="12" spans="1:38" ht="18" customHeight="1">
      <c r="A12" s="179">
        <v>1</v>
      </c>
      <c r="B12" s="219">
        <v>2020</v>
      </c>
      <c r="C12" s="220">
        <v>0</v>
      </c>
      <c r="D12" s="220">
        <v>0</v>
      </c>
      <c r="E12" s="220">
        <v>0</v>
      </c>
      <c r="F12" s="221">
        <f t="shared" ref="F12:F19" si="0">+C12-D12-E12</f>
        <v>0</v>
      </c>
    </row>
    <row r="13" spans="1:38" ht="18" customHeight="1">
      <c r="A13" s="179">
        <v>2</v>
      </c>
      <c r="B13" s="222"/>
      <c r="C13" s="220"/>
      <c r="D13" s="220"/>
      <c r="E13" s="220"/>
      <c r="F13" s="221">
        <f t="shared" si="0"/>
        <v>0</v>
      </c>
    </row>
    <row r="14" spans="1:38" ht="18" customHeight="1">
      <c r="A14" s="179">
        <v>3</v>
      </c>
      <c r="B14" s="222"/>
      <c r="C14" s="220"/>
      <c r="D14" s="220"/>
      <c r="E14" s="220"/>
      <c r="F14" s="221">
        <f t="shared" si="0"/>
        <v>0</v>
      </c>
    </row>
    <row r="15" spans="1:38" ht="18" customHeight="1">
      <c r="A15" s="179">
        <v>4</v>
      </c>
      <c r="B15" s="222"/>
      <c r="C15" s="220"/>
      <c r="D15" s="220"/>
      <c r="E15" s="220"/>
      <c r="F15" s="221">
        <f t="shared" si="0"/>
        <v>0</v>
      </c>
    </row>
    <row r="16" spans="1:38" ht="18" customHeight="1">
      <c r="A16" s="179">
        <v>5</v>
      </c>
      <c r="B16" s="222"/>
      <c r="C16" s="220"/>
      <c r="D16" s="220"/>
      <c r="E16" s="220"/>
      <c r="F16" s="221">
        <f t="shared" si="0"/>
        <v>0</v>
      </c>
    </row>
    <row r="17" spans="1:6" ht="18" customHeight="1">
      <c r="A17" s="179">
        <v>6</v>
      </c>
      <c r="B17" s="222"/>
      <c r="C17" s="220"/>
      <c r="D17" s="220"/>
      <c r="E17" s="220"/>
      <c r="F17" s="221">
        <f t="shared" si="0"/>
        <v>0</v>
      </c>
    </row>
    <row r="18" spans="1:6" ht="18" customHeight="1">
      <c r="A18" s="179">
        <v>7</v>
      </c>
      <c r="B18" s="222"/>
      <c r="C18" s="220"/>
      <c r="D18" s="220"/>
      <c r="E18" s="220"/>
      <c r="F18" s="221">
        <f t="shared" si="0"/>
        <v>0</v>
      </c>
    </row>
    <row r="19" spans="1:6" ht="18" customHeight="1">
      <c r="A19" s="179">
        <v>8</v>
      </c>
      <c r="B19" s="222"/>
      <c r="C19" s="220"/>
      <c r="D19" s="220"/>
      <c r="E19" s="220"/>
      <c r="F19" s="221">
        <f t="shared" si="0"/>
        <v>0</v>
      </c>
    </row>
    <row r="20" spans="1:6" ht="18" customHeight="1" thickBot="1">
      <c r="A20" s="223">
        <v>9</v>
      </c>
      <c r="B20" s="1592" t="s">
        <v>59</v>
      </c>
      <c r="C20" s="1593"/>
      <c r="D20" s="1593"/>
      <c r="E20" s="224">
        <f>SUM(E12:E19)</f>
        <v>0</v>
      </c>
      <c r="F20" s="225">
        <f>SUM(F12:F19)</f>
        <v>0</v>
      </c>
    </row>
    <row r="21" spans="1:6" ht="24" customHeight="1">
      <c r="A21" s="1609" t="s">
        <v>3806</v>
      </c>
      <c r="B21" s="1609"/>
      <c r="C21" s="1609"/>
      <c r="D21" s="1609"/>
      <c r="E21" s="1609"/>
      <c r="F21" s="1609"/>
    </row>
    <row r="22" spans="1:6" ht="24" customHeight="1">
      <c r="A22" s="1600"/>
      <c r="B22" s="1600"/>
      <c r="C22" s="1600"/>
      <c r="D22" s="1600"/>
      <c r="E22" s="1600"/>
      <c r="F22" s="1600"/>
    </row>
    <row r="23" spans="1:6" ht="24" customHeight="1">
      <c r="A23" s="1600"/>
      <c r="B23" s="1600"/>
      <c r="C23" s="1600"/>
      <c r="D23" s="1600"/>
      <c r="E23" s="1600"/>
      <c r="F23" s="1600"/>
    </row>
    <row r="24" spans="1:6" ht="24" customHeight="1">
      <c r="A24" s="1600"/>
      <c r="B24" s="1600"/>
      <c r="C24" s="1600"/>
      <c r="D24" s="1600"/>
      <c r="E24" s="1600"/>
      <c r="F24" s="1600"/>
    </row>
    <row r="25" spans="1:6" ht="24" customHeight="1">
      <c r="A25" s="1600"/>
      <c r="B25" s="1600"/>
      <c r="C25" s="1600"/>
      <c r="D25" s="1600"/>
      <c r="E25" s="1600"/>
      <c r="F25" s="1600"/>
    </row>
    <row r="26" spans="1:6" ht="24" customHeight="1">
      <c r="A26" s="1600"/>
      <c r="B26" s="1600"/>
      <c r="C26" s="1600"/>
      <c r="D26" s="1600"/>
      <c r="E26" s="1600"/>
      <c r="F26" s="1600"/>
    </row>
    <row r="27" spans="1:6" ht="24" customHeight="1">
      <c r="A27" s="1600"/>
      <c r="B27" s="1600"/>
      <c r="C27" s="1600"/>
      <c r="D27" s="1600"/>
      <c r="E27" s="1600"/>
      <c r="F27" s="1600"/>
    </row>
    <row r="28" spans="1:6" ht="24" customHeight="1">
      <c r="A28" s="1600"/>
      <c r="B28" s="1600"/>
      <c r="C28" s="1600"/>
      <c r="D28" s="1600"/>
      <c r="E28" s="1600"/>
      <c r="F28" s="1600"/>
    </row>
    <row r="29" spans="1:6" ht="24" customHeight="1">
      <c r="A29" s="1600"/>
      <c r="B29" s="1600"/>
      <c r="C29" s="1600"/>
      <c r="D29" s="1600"/>
      <c r="E29" s="1600"/>
      <c r="F29" s="1600"/>
    </row>
    <row r="30" spans="1:6" ht="24" customHeight="1">
      <c r="A30" s="1600"/>
      <c r="B30" s="1600"/>
      <c r="C30" s="1600"/>
      <c r="D30" s="1600"/>
      <c r="E30" s="1600"/>
      <c r="F30" s="1600"/>
    </row>
    <row r="31" spans="1:6" ht="24" customHeight="1">
      <c r="A31" s="1600"/>
      <c r="B31" s="1600"/>
      <c r="C31" s="1600"/>
      <c r="D31" s="1600"/>
      <c r="E31" s="1600"/>
      <c r="F31" s="1600"/>
    </row>
    <row r="32" spans="1:6" ht="24" customHeight="1">
      <c r="A32" s="1600"/>
      <c r="B32" s="1600"/>
      <c r="C32" s="1600"/>
      <c r="D32" s="1600"/>
      <c r="E32" s="1600"/>
      <c r="F32" s="1600"/>
    </row>
    <row r="33" spans="1:6" ht="24" customHeight="1">
      <c r="A33" s="1600"/>
      <c r="B33" s="1600"/>
      <c r="C33" s="1600"/>
      <c r="D33" s="1600"/>
      <c r="E33" s="1600"/>
      <c r="F33" s="1600"/>
    </row>
    <row r="34" spans="1:6">
      <c r="A34" s="1612" t="str">
        <f>+'DAP1'!A46</f>
        <v>Formulář zpracovala ASPEKT HM, daňová, účetní a auditorská kancelář, www.danovapriznani.cz, business.center.cz</v>
      </c>
      <c r="B34" s="1613"/>
      <c r="C34" s="1613"/>
      <c r="D34" s="1613"/>
      <c r="E34" s="1613"/>
      <c r="F34" s="1613"/>
    </row>
    <row r="35" spans="1:6">
      <c r="A35" s="1610" t="s">
        <v>3807</v>
      </c>
      <c r="B35" s="1610"/>
      <c r="C35" s="1610"/>
      <c r="D35" s="1610"/>
      <c r="E35" s="1610"/>
      <c r="F35" s="1610"/>
    </row>
    <row r="36" spans="1:6">
      <c r="A36" s="1611" t="s">
        <v>300</v>
      </c>
      <c r="B36" s="1611"/>
      <c r="C36" s="1611"/>
      <c r="D36" s="1611"/>
      <c r="E36" s="1611"/>
      <c r="F36" s="1611"/>
    </row>
    <row r="37" spans="1:6">
      <c r="A37" s="27"/>
      <c r="B37" s="27"/>
      <c r="C37" s="27"/>
      <c r="D37" s="27"/>
      <c r="E37" s="27"/>
      <c r="F37" s="27"/>
    </row>
    <row r="38" spans="1:6">
      <c r="A38" s="27"/>
      <c r="B38" s="27"/>
      <c r="C38" s="27"/>
      <c r="D38" s="27"/>
      <c r="E38" s="27"/>
      <c r="F38" s="27"/>
    </row>
    <row r="39" spans="1:6">
      <c r="A39" s="27"/>
      <c r="B39" s="27"/>
      <c r="C39" s="27"/>
      <c r="D39" s="27"/>
      <c r="E39" s="27"/>
      <c r="F39" s="27"/>
    </row>
    <row r="40" spans="1:6">
      <c r="A40" s="27"/>
      <c r="B40" s="27"/>
      <c r="C40" s="27"/>
      <c r="D40" s="27"/>
      <c r="E40" s="27"/>
      <c r="F40" s="27"/>
    </row>
    <row r="41" spans="1:6">
      <c r="A41" s="27"/>
      <c r="B41" s="27"/>
      <c r="C41" s="27"/>
      <c r="D41" s="27"/>
      <c r="E41" s="27"/>
      <c r="F41" s="27"/>
    </row>
    <row r="42" spans="1:6">
      <c r="A42" s="27"/>
      <c r="B42" s="27"/>
      <c r="C42" s="27"/>
      <c r="D42" s="27"/>
      <c r="E42" s="27"/>
      <c r="F42" s="27"/>
    </row>
    <row r="43" spans="1:6">
      <c r="A43" s="27"/>
      <c r="B43" s="27"/>
      <c r="C43" s="27"/>
      <c r="D43" s="27"/>
      <c r="E43" s="27"/>
      <c r="F43" s="27"/>
    </row>
    <row r="44" spans="1:6">
      <c r="A44" s="27"/>
      <c r="B44" s="27"/>
      <c r="C44" s="27"/>
      <c r="D44" s="27"/>
      <c r="E44" s="27"/>
      <c r="F44" s="27"/>
    </row>
    <row r="45" spans="1:6">
      <c r="A45" s="27"/>
      <c r="B45" s="27"/>
      <c r="C45" s="27"/>
      <c r="D45" s="27"/>
      <c r="E45" s="27"/>
      <c r="F45" s="27"/>
    </row>
    <row r="46" spans="1:6">
      <c r="A46" s="27"/>
      <c r="B46" s="27"/>
      <c r="C46" s="27"/>
      <c r="D46" s="27"/>
      <c r="E46" s="27"/>
      <c r="F46" s="27"/>
    </row>
    <row r="47" spans="1:6">
      <c r="A47" s="27"/>
      <c r="B47" s="27"/>
      <c r="C47" s="27"/>
      <c r="D47" s="27"/>
      <c r="E47" s="27"/>
      <c r="F47" s="27"/>
    </row>
    <row r="48" spans="1:6">
      <c r="A48" s="27"/>
      <c r="B48" s="27"/>
      <c r="C48" s="27"/>
      <c r="D48" s="27"/>
      <c r="E48" s="27"/>
      <c r="F48" s="27"/>
    </row>
    <row r="49" s="27" customFormat="1"/>
    <row r="50" s="27" customFormat="1"/>
    <row r="51" s="27" customFormat="1"/>
    <row r="52" s="27" customFormat="1"/>
    <row r="53" s="27" customFormat="1"/>
    <row r="54" s="27" customFormat="1"/>
    <row r="55" s="27" customFormat="1"/>
    <row r="56" s="27" customFormat="1"/>
    <row r="57" s="27" customFormat="1"/>
    <row r="58" s="27" customFormat="1"/>
    <row r="59" s="27" customFormat="1"/>
    <row r="60" s="27" customFormat="1"/>
    <row r="61" s="27" customFormat="1"/>
  </sheetData>
  <sheetProtection algorithmName="SHA-512" hashValue="LrjmfJ5BKh9UnCjm8l0s8BMKCG9xdksLG4TjGCL36+f4mCwKgrcX9PlgseuAB9KyYrq5qBJ5oK8CIIh2aG0vjQ==" saltValue="0nQAdBdeDUJUQpHVDN4HNA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143"/>
  <sheetViews>
    <sheetView workbookViewId="0">
      <selection activeCell="B11" sqref="B11"/>
    </sheetView>
  </sheetViews>
  <sheetFormatPr defaultRowHeight="12.75"/>
  <cols>
    <col min="1" max="1" width="7.42578125" customWidth="1"/>
    <col min="2" max="2" width="64.7109375" customWidth="1"/>
    <col min="3" max="6" width="18.7109375" customWidth="1"/>
    <col min="7" max="21" width="9.140625" style="27"/>
  </cols>
  <sheetData>
    <row r="1" spans="1:21" ht="18" customHeight="1">
      <c r="A1" s="1603" t="s">
        <v>37</v>
      </c>
      <c r="B1" s="1600"/>
      <c r="C1" s="1600"/>
      <c r="D1" s="1623"/>
      <c r="E1" s="1621" t="str">
        <f>+'6Př'!F1</f>
        <v/>
      </c>
      <c r="F1" s="1622"/>
    </row>
    <row r="2" spans="1:21">
      <c r="A2" s="1600"/>
      <c r="B2" s="1600"/>
      <c r="C2" s="1600"/>
      <c r="D2" s="1600"/>
      <c r="E2" s="1600"/>
      <c r="F2" s="1600"/>
    </row>
    <row r="3" spans="1:21" s="146" customFormat="1" ht="27.75">
      <c r="A3" s="1624" t="s">
        <v>118</v>
      </c>
      <c r="B3" s="1624"/>
      <c r="C3" s="1624"/>
      <c r="D3" s="1624"/>
      <c r="E3" s="1624"/>
      <c r="F3" s="162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s="146" customFormat="1" ht="18">
      <c r="A4" s="796" t="s">
        <v>46</v>
      </c>
      <c r="B4" s="796"/>
      <c r="C4" s="796"/>
      <c r="D4" s="796"/>
      <c r="E4" s="796"/>
      <c r="F4" s="796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46" customFormat="1" ht="18">
      <c r="A5" s="796" t="s">
        <v>3531</v>
      </c>
      <c r="B5" s="796"/>
      <c r="C5" s="796"/>
      <c r="D5" s="796"/>
      <c r="E5" s="796"/>
      <c r="F5" s="796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</row>
    <row r="6" spans="1:21" s="146" customFormat="1" ht="18">
      <c r="A6" s="1616" t="s">
        <v>125</v>
      </c>
      <c r="B6" s="1616"/>
      <c r="C6" s="1616"/>
      <c r="D6" s="1617"/>
      <c r="E6" s="177">
        <f>+'DAP1'!F24</f>
        <v>2021</v>
      </c>
      <c r="F6" s="147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</row>
    <row r="7" spans="1:21" ht="13.5" thickBot="1">
      <c r="A7" s="1600"/>
      <c r="B7" s="1600"/>
      <c r="C7" s="1600"/>
      <c r="D7" s="1600"/>
      <c r="E7" s="1600"/>
      <c r="F7" s="1600"/>
    </row>
    <row r="8" spans="1:21" ht="18" customHeight="1">
      <c r="A8" s="226" t="s">
        <v>6</v>
      </c>
      <c r="B8" s="227" t="s">
        <v>47</v>
      </c>
      <c r="C8" s="227" t="s">
        <v>48</v>
      </c>
      <c r="D8" s="227" t="s">
        <v>49</v>
      </c>
      <c r="E8" s="227" t="s">
        <v>50</v>
      </c>
      <c r="F8" s="228" t="s">
        <v>51</v>
      </c>
    </row>
    <row r="9" spans="1:21" ht="18" customHeight="1" thickBot="1">
      <c r="A9" s="229" t="s">
        <v>126</v>
      </c>
      <c r="B9" s="230" t="s">
        <v>3532</v>
      </c>
      <c r="C9" s="230" t="s">
        <v>127</v>
      </c>
      <c r="D9" s="230" t="s">
        <v>128</v>
      </c>
      <c r="E9" s="230" t="s">
        <v>129</v>
      </c>
      <c r="F9" s="231" t="s">
        <v>130</v>
      </c>
    </row>
    <row r="10" spans="1:21" ht="18" customHeight="1">
      <c r="A10" s="232">
        <v>1</v>
      </c>
      <c r="B10" s="233"/>
      <c r="C10" s="234"/>
      <c r="D10" s="234"/>
      <c r="E10" s="234"/>
      <c r="F10" s="235"/>
    </row>
    <row r="11" spans="1:21" ht="18" customHeight="1">
      <c r="A11" s="236"/>
      <c r="B11" s="148"/>
      <c r="C11" s="237"/>
      <c r="D11" s="237"/>
      <c r="E11" s="237"/>
      <c r="F11" s="238"/>
    </row>
    <row r="12" spans="1:21" ht="18" customHeight="1">
      <c r="A12" s="236"/>
      <c r="B12" s="148"/>
      <c r="C12" s="237"/>
      <c r="D12" s="237"/>
      <c r="E12" s="237"/>
      <c r="F12" s="238"/>
    </row>
    <row r="13" spans="1:21" ht="18" customHeight="1">
      <c r="A13" s="236"/>
      <c r="B13" s="148"/>
      <c r="C13" s="237"/>
      <c r="D13" s="237"/>
      <c r="E13" s="237"/>
      <c r="F13" s="238"/>
    </row>
    <row r="14" spans="1:21" ht="18" customHeight="1">
      <c r="A14" s="236"/>
      <c r="B14" s="148"/>
      <c r="C14" s="237"/>
      <c r="D14" s="237"/>
      <c r="E14" s="237"/>
      <c r="F14" s="238"/>
    </row>
    <row r="15" spans="1:21" ht="18" customHeight="1">
      <c r="A15" s="236"/>
      <c r="B15" s="148"/>
      <c r="C15" s="237"/>
      <c r="D15" s="237"/>
      <c r="E15" s="237"/>
      <c r="F15" s="238"/>
    </row>
    <row r="16" spans="1:21" ht="18" customHeight="1">
      <c r="A16" s="236"/>
      <c r="B16" s="148"/>
      <c r="C16" s="237"/>
      <c r="D16" s="237"/>
      <c r="E16" s="237"/>
      <c r="F16" s="238"/>
    </row>
    <row r="17" spans="1:21" ht="18" customHeight="1">
      <c r="A17" s="236"/>
      <c r="B17" s="148"/>
      <c r="C17" s="237"/>
      <c r="D17" s="237"/>
      <c r="E17" s="237"/>
      <c r="F17" s="238"/>
    </row>
    <row r="18" spans="1:21" ht="18" customHeight="1">
      <c r="A18" s="236"/>
      <c r="B18" s="148"/>
      <c r="C18" s="237"/>
      <c r="D18" s="237"/>
      <c r="E18" s="237"/>
      <c r="F18" s="238"/>
    </row>
    <row r="19" spans="1:21" ht="18" customHeight="1">
      <c r="A19" s="236"/>
      <c r="B19" s="148"/>
      <c r="C19" s="237"/>
      <c r="D19" s="237"/>
      <c r="E19" s="237"/>
      <c r="F19" s="238"/>
    </row>
    <row r="20" spans="1:21" ht="18" customHeight="1">
      <c r="A20" s="236"/>
      <c r="B20" s="148"/>
      <c r="C20" s="237"/>
      <c r="D20" s="237"/>
      <c r="E20" s="237"/>
      <c r="F20" s="238"/>
    </row>
    <row r="21" spans="1:21" ht="18" customHeight="1">
      <c r="A21" s="236"/>
      <c r="B21" s="148"/>
      <c r="C21" s="237"/>
      <c r="D21" s="237"/>
      <c r="E21" s="237"/>
      <c r="F21" s="238"/>
    </row>
    <row r="22" spans="1:21" ht="18" customHeight="1">
      <c r="A22" s="236"/>
      <c r="B22" s="148"/>
      <c r="C22" s="237"/>
      <c r="D22" s="237"/>
      <c r="E22" s="237"/>
      <c r="F22" s="238"/>
    </row>
    <row r="23" spans="1:21" ht="18" customHeight="1">
      <c r="A23" s="236"/>
      <c r="B23" s="148"/>
      <c r="C23" s="237"/>
      <c r="D23" s="237"/>
      <c r="E23" s="237"/>
      <c r="F23" s="238"/>
    </row>
    <row r="24" spans="1:21" ht="18" customHeight="1">
      <c r="A24" s="236"/>
      <c r="B24" s="148"/>
      <c r="C24" s="237"/>
      <c r="D24" s="237"/>
      <c r="E24" s="237"/>
      <c r="F24" s="238"/>
    </row>
    <row r="25" spans="1:21" ht="18" customHeight="1" thickBot="1">
      <c r="A25" s="239"/>
      <c r="B25" s="240"/>
      <c r="C25" s="241"/>
      <c r="D25" s="241"/>
      <c r="E25" s="241"/>
      <c r="F25" s="242"/>
    </row>
    <row r="26" spans="1:21">
      <c r="A26" s="1618"/>
      <c r="B26" s="1618"/>
      <c r="C26" s="1618"/>
      <c r="D26" s="1618"/>
      <c r="E26" s="1618"/>
      <c r="F26" s="1618"/>
    </row>
    <row r="27" spans="1:21" s="146" customFormat="1">
      <c r="A27" s="1619" t="s">
        <v>3547</v>
      </c>
      <c r="B27" s="1352"/>
      <c r="C27" s="1352"/>
      <c r="D27" s="1352"/>
      <c r="E27" s="1352"/>
      <c r="F27" s="1352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</row>
    <row r="28" spans="1:21" s="146" customFormat="1" ht="24" customHeight="1">
      <c r="A28" s="1620" t="s">
        <v>3533</v>
      </c>
      <c r="B28" s="827"/>
      <c r="C28" s="827"/>
      <c r="D28" s="827"/>
      <c r="E28" s="827"/>
      <c r="F28" s="827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</row>
    <row r="29" spans="1:21" s="146" customFormat="1">
      <c r="A29" s="1619" t="s">
        <v>131</v>
      </c>
      <c r="B29" s="1352"/>
      <c r="C29" s="1352"/>
      <c r="D29" s="1352"/>
      <c r="E29" s="1352"/>
      <c r="F29" s="1352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</row>
    <row r="30" spans="1:21" s="146" customFormat="1">
      <c r="A30" s="1619" t="s">
        <v>132</v>
      </c>
      <c r="B30" s="1352"/>
      <c r="C30" s="1352"/>
      <c r="D30" s="1352"/>
      <c r="E30" s="1352"/>
      <c r="F30" s="1352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</row>
    <row r="31" spans="1:21" s="146" customFormat="1" ht="24" customHeight="1">
      <c r="A31" s="1620" t="s">
        <v>133</v>
      </c>
      <c r="B31" s="827"/>
      <c r="C31" s="827"/>
      <c r="D31" s="827"/>
      <c r="E31" s="827"/>
      <c r="F31" s="827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</row>
    <row r="32" spans="1:21" s="146" customFormat="1" ht="24" customHeight="1">
      <c r="A32" s="1620" t="s">
        <v>52</v>
      </c>
      <c r="B32" s="827"/>
      <c r="C32" s="827"/>
      <c r="D32" s="827"/>
      <c r="E32" s="827"/>
      <c r="F32" s="827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</row>
    <row r="33" spans="1:6">
      <c r="A33" s="78"/>
      <c r="B33" s="78"/>
      <c r="C33" s="78"/>
      <c r="D33" s="78"/>
      <c r="E33" s="78"/>
      <c r="F33" s="78"/>
    </row>
    <row r="34" spans="1:6">
      <c r="A34" s="1612" t="str">
        <f>+'DAP1'!A46</f>
        <v>Formulář zpracovala ASPEKT HM, daňová, účetní a auditorská kancelář, www.danovapriznani.cz, business.center.cz</v>
      </c>
      <c r="B34" s="1614"/>
      <c r="C34" s="1614"/>
      <c r="D34" s="1614"/>
      <c r="E34" s="1614"/>
      <c r="F34" s="1614"/>
    </row>
    <row r="35" spans="1:6">
      <c r="A35" s="1615" t="s">
        <v>3893</v>
      </c>
      <c r="B35" s="1615"/>
      <c r="C35" s="1615"/>
      <c r="D35" s="1615"/>
      <c r="E35" s="1615"/>
      <c r="F35" s="1615"/>
    </row>
    <row r="36" spans="1:6">
      <c r="A36" s="1611" t="s">
        <v>300</v>
      </c>
      <c r="B36" s="1611"/>
      <c r="C36" s="1611"/>
      <c r="D36" s="1611"/>
      <c r="E36" s="1611"/>
      <c r="F36" s="1611"/>
    </row>
    <row r="37" spans="1:6" ht="13.5" customHeight="1">
      <c r="A37" s="27"/>
      <c r="B37" s="27"/>
      <c r="C37" s="27"/>
      <c r="D37" s="27"/>
      <c r="E37" s="27"/>
      <c r="F37" s="27"/>
    </row>
    <row r="38" spans="1:6">
      <c r="A38" s="27"/>
      <c r="B38" s="27"/>
      <c r="C38" s="27"/>
      <c r="D38" s="27"/>
      <c r="E38" s="27"/>
      <c r="F38" s="27"/>
    </row>
    <row r="39" spans="1:6">
      <c r="A39" s="27"/>
      <c r="B39" s="27"/>
      <c r="C39" s="27"/>
      <c r="D39" s="27"/>
      <c r="E39" s="27"/>
      <c r="F39" s="27"/>
    </row>
    <row r="40" spans="1:6">
      <c r="A40" s="27"/>
      <c r="B40" s="27"/>
      <c r="C40" s="27"/>
      <c r="D40" s="27"/>
      <c r="E40" s="27"/>
      <c r="F40" s="27"/>
    </row>
    <row r="41" spans="1:6">
      <c r="A41" s="27"/>
      <c r="B41" s="27"/>
      <c r="C41" s="27"/>
      <c r="D41" s="27"/>
      <c r="E41" s="27"/>
      <c r="F41" s="27"/>
    </row>
    <row r="42" spans="1:6">
      <c r="A42" s="27"/>
      <c r="B42" s="27"/>
      <c r="C42" s="27"/>
      <c r="D42" s="27"/>
      <c r="E42" s="27"/>
      <c r="F42" s="27"/>
    </row>
    <row r="43" spans="1:6">
      <c r="A43" s="27"/>
      <c r="B43" s="27"/>
      <c r="C43" s="27"/>
      <c r="D43" s="27"/>
      <c r="E43" s="27"/>
      <c r="F43" s="27"/>
    </row>
    <row r="44" spans="1:6">
      <c r="A44" s="27"/>
      <c r="B44" s="27"/>
      <c r="C44" s="27"/>
      <c r="D44" s="27"/>
      <c r="E44" s="27"/>
      <c r="F44" s="27"/>
    </row>
    <row r="45" spans="1:6">
      <c r="A45" s="27"/>
      <c r="B45" s="27"/>
      <c r="C45" s="27"/>
      <c r="D45" s="27"/>
      <c r="E45" s="27"/>
      <c r="F45" s="27"/>
    </row>
    <row r="46" spans="1:6">
      <c r="A46" s="27"/>
      <c r="B46" s="27"/>
      <c r="C46" s="27"/>
      <c r="D46" s="27"/>
      <c r="E46" s="27"/>
      <c r="F46" s="27"/>
    </row>
    <row r="47" spans="1:6">
      <c r="A47" s="27"/>
      <c r="B47" s="27"/>
      <c r="C47" s="27"/>
      <c r="D47" s="27"/>
      <c r="E47" s="27"/>
      <c r="F47" s="27"/>
    </row>
    <row r="48" spans="1:6">
      <c r="A48" s="27"/>
      <c r="B48" s="27"/>
      <c r="C48" s="27"/>
      <c r="D48" s="27"/>
      <c r="E48" s="27"/>
      <c r="F48" s="27"/>
    </row>
    <row r="49" s="27" customFormat="1"/>
    <row r="50" s="27" customFormat="1"/>
    <row r="51" s="27" customFormat="1"/>
    <row r="52" s="27" customFormat="1"/>
    <row r="53" s="27" customFormat="1"/>
    <row r="54" s="27" customFormat="1"/>
    <row r="55" s="27" customFormat="1"/>
    <row r="56" s="27" customFormat="1"/>
    <row r="57" s="27" customFormat="1"/>
    <row r="58" s="27" customFormat="1"/>
    <row r="59" s="27" customFormat="1"/>
    <row r="60" s="27" customFormat="1"/>
    <row r="61" s="27" customFormat="1"/>
    <row r="62" s="27" customFormat="1"/>
    <row r="63" s="27" customFormat="1"/>
    <row r="64" s="27" customFormat="1"/>
    <row r="65" s="27" customFormat="1"/>
    <row r="66" s="27" customFormat="1"/>
    <row r="67" s="27" customFormat="1"/>
    <row r="68" s="27" customFormat="1"/>
    <row r="69" s="27" customFormat="1"/>
    <row r="70" s="27" customFormat="1"/>
    <row r="71" s="27" customFormat="1"/>
    <row r="72" s="27" customFormat="1"/>
    <row r="73" s="27" customFormat="1"/>
    <row r="74" s="27" customFormat="1"/>
    <row r="75" s="27" customFormat="1"/>
    <row r="76" s="27" customFormat="1"/>
    <row r="77" s="27" customFormat="1"/>
    <row r="78" s="27" customFormat="1"/>
    <row r="79" s="27" customFormat="1"/>
    <row r="80" s="27" customFormat="1"/>
    <row r="81" s="27" customFormat="1"/>
    <row r="82" s="27" customFormat="1"/>
    <row r="83" s="27" customFormat="1"/>
    <row r="84" s="27" customFormat="1"/>
    <row r="85" s="27" customFormat="1"/>
    <row r="86" s="27" customFormat="1"/>
    <row r="87" s="27" customFormat="1"/>
    <row r="88" s="27" customFormat="1"/>
    <row r="89" s="27" customFormat="1"/>
    <row r="90" s="27" customFormat="1"/>
    <row r="91" s="27" customFormat="1"/>
    <row r="92" s="27" customFormat="1"/>
    <row r="93" s="27" customFormat="1"/>
    <row r="94" s="27" customFormat="1"/>
    <row r="95" s="27" customFormat="1"/>
    <row r="96" s="27" customFormat="1"/>
    <row r="97" s="27" customFormat="1"/>
    <row r="98" s="27" customFormat="1"/>
    <row r="99" s="27" customFormat="1"/>
    <row r="100" s="27" customFormat="1"/>
    <row r="101" s="27" customFormat="1"/>
    <row r="102" s="27" customFormat="1"/>
    <row r="103" s="27" customFormat="1"/>
    <row r="104" s="27" customFormat="1"/>
    <row r="105" s="27" customFormat="1"/>
    <row r="106" s="27" customFormat="1"/>
    <row r="107" s="27" customFormat="1"/>
    <row r="108" s="27" customFormat="1"/>
    <row r="109" s="27" customFormat="1"/>
    <row r="110" s="27" customFormat="1"/>
    <row r="111" s="27" customFormat="1"/>
    <row r="112" s="27" customFormat="1"/>
    <row r="113" s="27" customFormat="1"/>
    <row r="114" s="27" customFormat="1"/>
    <row r="115" s="27" customFormat="1"/>
    <row r="116" s="27" customFormat="1"/>
    <row r="117" s="27" customFormat="1"/>
    <row r="118" s="27" customFormat="1"/>
    <row r="119" s="27" customFormat="1"/>
    <row r="120" s="27" customFormat="1"/>
    <row r="121" s="27" customFormat="1"/>
    <row r="122" s="27" customFormat="1"/>
    <row r="123" s="27" customFormat="1"/>
    <row r="124" s="27" customFormat="1"/>
    <row r="125" s="27" customFormat="1"/>
    <row r="126" s="27" customFormat="1"/>
    <row r="127" s="27" customFormat="1"/>
    <row r="128" s="27" customFormat="1"/>
    <row r="129" s="27" customFormat="1"/>
    <row r="130" s="27" customFormat="1"/>
    <row r="131" s="27" customFormat="1"/>
    <row r="132" s="27" customFormat="1"/>
    <row r="133" s="27" customFormat="1"/>
    <row r="134" s="27" customFormat="1"/>
    <row r="135" s="27" customFormat="1"/>
    <row r="136" s="27" customFormat="1"/>
    <row r="137" s="27" customFormat="1"/>
    <row r="138" s="27" customFormat="1"/>
    <row r="139" s="27" customFormat="1"/>
    <row r="140" s="27" customFormat="1"/>
    <row r="141" s="27" customFormat="1"/>
    <row r="142" s="27" customFormat="1"/>
    <row r="143" s="27" customFormat="1"/>
  </sheetData>
  <sheetProtection algorithmName="SHA-512" hashValue="UCzZkIXaIavNJBS7M0/ZLyn2QQyR01uCsPaYW2oXzpE0cYyvFQoMvE5WPoQfXxFVDtRPPLv96lEdTLP+TE26RQ==" saltValue="6OQzPHTjNDnHmF2gM7oKmg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phoneticPr fontId="11" type="noConversion"/>
  <dataValidations count="1">
    <dataValidation type="list" allowBlank="1" showInputMessage="1" showErrorMessage="1" errorTitle="Stát není v seznamu" sqref="C10:C25" xr:uid="{00000000-0002-0000-1000-000000000000}">
      <formula1>staty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8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EADF6-9B6E-4B7A-A920-22314C6C5327}">
  <sheetPr>
    <tabColor theme="0"/>
    <pageSetUpPr fitToPage="1"/>
  </sheetPr>
  <dimension ref="A1:BU601"/>
  <sheetViews>
    <sheetView workbookViewId="0">
      <selection activeCell="A14" sqref="A14:K14"/>
    </sheetView>
  </sheetViews>
  <sheetFormatPr defaultRowHeight="12.75"/>
  <cols>
    <col min="1" max="1" width="4.42578125" style="751" bestFit="1" customWidth="1"/>
    <col min="2" max="2" width="10" style="751" customWidth="1"/>
    <col min="3" max="3" width="36.140625" style="751" customWidth="1"/>
    <col min="4" max="11" width="7.7109375" style="751" customWidth="1"/>
    <col min="12" max="73" width="9.140625" style="659"/>
    <col min="74" max="16384" width="9.140625" style="751"/>
  </cols>
  <sheetData>
    <row r="1" spans="1:73" ht="30" customHeight="1" thickBot="1">
      <c r="A1" s="1625" t="s">
        <v>3980</v>
      </c>
      <c r="B1" s="1625"/>
      <c r="C1" s="1626"/>
      <c r="D1" s="1626"/>
      <c r="E1" s="1626"/>
      <c r="F1" s="1626"/>
      <c r="G1" s="1626"/>
      <c r="H1" s="1626"/>
      <c r="I1" s="1626"/>
      <c r="J1" s="1626"/>
      <c r="K1" s="1626"/>
    </row>
    <row r="2" spans="1:73" ht="22.5" customHeight="1">
      <c r="A2" s="1627"/>
      <c r="B2" s="1630" t="s">
        <v>3484</v>
      </c>
      <c r="C2" s="1631"/>
      <c r="D2" s="1630" t="s">
        <v>148</v>
      </c>
      <c r="E2" s="1634"/>
      <c r="F2" s="1635" t="s">
        <v>3482</v>
      </c>
      <c r="G2" s="1636"/>
      <c r="H2" s="1635" t="s">
        <v>3483</v>
      </c>
      <c r="I2" s="1636"/>
      <c r="J2" s="1635" t="s">
        <v>3575</v>
      </c>
      <c r="K2" s="1637"/>
      <c r="BQ2" s="751"/>
      <c r="BR2" s="751"/>
      <c r="BS2" s="751"/>
      <c r="BT2" s="751"/>
      <c r="BU2" s="751"/>
    </row>
    <row r="3" spans="1:73" ht="21.95" customHeight="1">
      <c r="A3" s="1628"/>
      <c r="B3" s="1632"/>
      <c r="C3" s="1633"/>
      <c r="D3" s="1632"/>
      <c r="E3" s="1633"/>
      <c r="F3" s="752" t="s">
        <v>3573</v>
      </c>
      <c r="G3" s="752" t="s">
        <v>3574</v>
      </c>
      <c r="H3" s="752" t="s">
        <v>3573</v>
      </c>
      <c r="I3" s="752" t="s">
        <v>3574</v>
      </c>
      <c r="J3" s="752" t="s">
        <v>3573</v>
      </c>
      <c r="K3" s="753" t="s">
        <v>3574</v>
      </c>
      <c r="BQ3" s="751"/>
      <c r="BR3" s="751"/>
      <c r="BS3" s="751"/>
      <c r="BT3" s="751"/>
      <c r="BU3" s="751"/>
    </row>
    <row r="4" spans="1:73" ht="12" customHeight="1">
      <c r="A4" s="1629"/>
      <c r="B4" s="1638">
        <v>1</v>
      </c>
      <c r="C4" s="1639"/>
      <c r="D4" s="1638">
        <v>2</v>
      </c>
      <c r="E4" s="1638"/>
      <c r="F4" s="1640">
        <v>3</v>
      </c>
      <c r="G4" s="1641"/>
      <c r="H4" s="1640">
        <v>4</v>
      </c>
      <c r="I4" s="1641"/>
      <c r="J4" s="1640">
        <v>5</v>
      </c>
      <c r="K4" s="1642"/>
      <c r="BQ4" s="751"/>
      <c r="BR4" s="751"/>
      <c r="BS4" s="751"/>
      <c r="BT4" s="751"/>
      <c r="BU4" s="751"/>
    </row>
    <row r="5" spans="1:73" ht="18" customHeight="1">
      <c r="A5" s="754">
        <v>5</v>
      </c>
      <c r="B5" s="1643" t="s">
        <v>142</v>
      </c>
      <c r="C5" s="1644"/>
      <c r="D5" s="1645"/>
      <c r="E5" s="1646"/>
      <c r="F5" s="755"/>
      <c r="G5" s="755"/>
      <c r="H5" s="755"/>
      <c r="I5" s="755"/>
      <c r="J5" s="756"/>
      <c r="K5" s="757"/>
      <c r="BQ5" s="751"/>
      <c r="BR5" s="751"/>
      <c r="BS5" s="751"/>
      <c r="BT5" s="751"/>
      <c r="BU5" s="751"/>
    </row>
    <row r="6" spans="1:73" ht="18" customHeight="1">
      <c r="A6" s="754">
        <v>6</v>
      </c>
      <c r="B6" s="1643" t="s">
        <v>142</v>
      </c>
      <c r="C6" s="1644"/>
      <c r="D6" s="1645"/>
      <c r="E6" s="1645"/>
      <c r="F6" s="755"/>
      <c r="G6" s="755"/>
      <c r="H6" s="755"/>
      <c r="I6" s="755"/>
      <c r="J6" s="756"/>
      <c r="K6" s="757"/>
      <c r="BQ6" s="751"/>
      <c r="BR6" s="751"/>
      <c r="BS6" s="751"/>
      <c r="BT6" s="751"/>
      <c r="BU6" s="751"/>
    </row>
    <row r="7" spans="1:73" ht="18" customHeight="1">
      <c r="A7" s="754">
        <v>7</v>
      </c>
      <c r="B7" s="1643" t="s">
        <v>142</v>
      </c>
      <c r="C7" s="1644"/>
      <c r="D7" s="1645"/>
      <c r="E7" s="1645"/>
      <c r="F7" s="755"/>
      <c r="G7" s="755"/>
      <c r="H7" s="755"/>
      <c r="I7" s="755"/>
      <c r="J7" s="756"/>
      <c r="K7" s="757"/>
      <c r="BQ7" s="751"/>
      <c r="BR7" s="751"/>
      <c r="BS7" s="751"/>
      <c r="BT7" s="751"/>
      <c r="BU7" s="751"/>
    </row>
    <row r="8" spans="1:73" ht="18" customHeight="1">
      <c r="A8" s="754">
        <v>8</v>
      </c>
      <c r="B8" s="1643" t="s">
        <v>142</v>
      </c>
      <c r="C8" s="1644"/>
      <c r="D8" s="1645"/>
      <c r="E8" s="1645"/>
      <c r="F8" s="755"/>
      <c r="G8" s="755"/>
      <c r="H8" s="755"/>
      <c r="I8" s="755"/>
      <c r="J8" s="756"/>
      <c r="K8" s="757"/>
      <c r="BQ8" s="751"/>
      <c r="BR8" s="751"/>
      <c r="BS8" s="751"/>
      <c r="BT8" s="751"/>
      <c r="BU8" s="751"/>
    </row>
    <row r="9" spans="1:73" ht="18" customHeight="1">
      <c r="A9" s="754">
        <v>9</v>
      </c>
      <c r="B9" s="1643" t="s">
        <v>142</v>
      </c>
      <c r="C9" s="1644"/>
      <c r="D9" s="1645"/>
      <c r="E9" s="1645"/>
      <c r="F9" s="755"/>
      <c r="G9" s="755"/>
      <c r="H9" s="755"/>
      <c r="I9" s="755"/>
      <c r="J9" s="756"/>
      <c r="K9" s="757"/>
      <c r="BQ9" s="751"/>
      <c r="BR9" s="751"/>
      <c r="BS9" s="751"/>
      <c r="BT9" s="751"/>
      <c r="BU9" s="751"/>
    </row>
    <row r="10" spans="1:73" ht="18" customHeight="1">
      <c r="A10" s="754">
        <v>10</v>
      </c>
      <c r="B10" s="1643" t="s">
        <v>142</v>
      </c>
      <c r="C10" s="1644"/>
      <c r="D10" s="1645"/>
      <c r="E10" s="1645"/>
      <c r="F10" s="755"/>
      <c r="G10" s="755"/>
      <c r="H10" s="755"/>
      <c r="I10" s="755"/>
      <c r="J10" s="756"/>
      <c r="K10" s="757"/>
      <c r="BQ10" s="751"/>
      <c r="BR10" s="751"/>
      <c r="BS10" s="751"/>
      <c r="BT10" s="751"/>
      <c r="BU10" s="751"/>
    </row>
    <row r="11" spans="1:73" ht="18" customHeight="1">
      <c r="A11" s="754">
        <v>11</v>
      </c>
      <c r="B11" s="1643" t="s">
        <v>142</v>
      </c>
      <c r="C11" s="1644"/>
      <c r="D11" s="1645"/>
      <c r="E11" s="1645"/>
      <c r="F11" s="755"/>
      <c r="G11" s="755"/>
      <c r="H11" s="755"/>
      <c r="I11" s="755"/>
      <c r="J11" s="756"/>
      <c r="K11" s="757"/>
      <c r="BQ11" s="751"/>
      <c r="BR11" s="751"/>
      <c r="BS11" s="751"/>
      <c r="BT11" s="751"/>
      <c r="BU11" s="751"/>
    </row>
    <row r="12" spans="1:73" ht="18" customHeight="1">
      <c r="A12" s="754">
        <v>12</v>
      </c>
      <c r="B12" s="1643" t="s">
        <v>142</v>
      </c>
      <c r="C12" s="1644"/>
      <c r="D12" s="1645"/>
      <c r="E12" s="1645"/>
      <c r="F12" s="755"/>
      <c r="G12" s="755"/>
      <c r="H12" s="755"/>
      <c r="I12" s="755"/>
      <c r="J12" s="756"/>
      <c r="K12" s="757"/>
      <c r="BQ12" s="751"/>
      <c r="BR12" s="751"/>
      <c r="BS12" s="751"/>
      <c r="BT12" s="751"/>
      <c r="BU12" s="751"/>
    </row>
    <row r="13" spans="1:73" ht="15.95" customHeight="1" thickBot="1">
      <c r="A13" s="758"/>
      <c r="B13" s="1647" t="s">
        <v>59</v>
      </c>
      <c r="C13" s="1648"/>
      <c r="D13" s="1649"/>
      <c r="E13" s="1649"/>
      <c r="F13" s="759">
        <f t="shared" ref="F13:K13" si="0">+SUM(F5:F12)</f>
        <v>0</v>
      </c>
      <c r="G13" s="759">
        <f t="shared" si="0"/>
        <v>0</v>
      </c>
      <c r="H13" s="759">
        <f t="shared" si="0"/>
        <v>0</v>
      </c>
      <c r="I13" s="759">
        <f t="shared" si="0"/>
        <v>0</v>
      </c>
      <c r="J13" s="759">
        <f t="shared" si="0"/>
        <v>0</v>
      </c>
      <c r="K13" s="760">
        <f t="shared" si="0"/>
        <v>0</v>
      </c>
      <c r="BU13" s="751"/>
    </row>
    <row r="14" spans="1:73" s="659" customFormat="1" ht="99.95" customHeight="1">
      <c r="A14" s="1650"/>
      <c r="B14" s="1650"/>
      <c r="C14" s="1651"/>
      <c r="D14" s="1651"/>
      <c r="E14" s="1651"/>
      <c r="F14" s="1651"/>
      <c r="G14" s="1651"/>
      <c r="H14" s="1651"/>
      <c r="I14" s="1651"/>
      <c r="J14" s="1651"/>
      <c r="K14" s="1651"/>
    </row>
    <row r="15" spans="1:73" s="659" customFormat="1" ht="99.95" customHeight="1">
      <c r="A15" s="1652"/>
      <c r="B15" s="1652"/>
      <c r="C15" s="1652"/>
      <c r="D15" s="1652"/>
      <c r="E15" s="1652"/>
      <c r="F15" s="1652"/>
      <c r="G15" s="1652"/>
      <c r="H15" s="1652"/>
      <c r="I15" s="1652"/>
      <c r="J15" s="1652"/>
      <c r="K15" s="1652"/>
    </row>
    <row r="16" spans="1:73" s="659" customFormat="1"/>
    <row r="17" s="659" customFormat="1"/>
    <row r="18" s="659" customFormat="1"/>
    <row r="19" s="659" customFormat="1"/>
    <row r="20" s="659" customFormat="1"/>
    <row r="21" s="659" customFormat="1"/>
    <row r="22" s="659" customFormat="1"/>
    <row r="23" s="659" customFormat="1"/>
    <row r="24" s="659" customFormat="1"/>
    <row r="25" s="659" customFormat="1"/>
    <row r="26" s="659" customFormat="1"/>
    <row r="27" s="659" customFormat="1"/>
    <row r="28" s="659" customFormat="1"/>
    <row r="29" s="659" customFormat="1"/>
    <row r="30" s="659" customFormat="1"/>
    <row r="31" s="659" customFormat="1"/>
    <row r="32" s="659" customFormat="1"/>
    <row r="33" s="659" customFormat="1"/>
    <row r="34" s="659" customFormat="1"/>
    <row r="35" s="659" customFormat="1"/>
    <row r="36" s="659" customFormat="1"/>
    <row r="37" s="659" customFormat="1"/>
    <row r="38" s="659" customFormat="1"/>
    <row r="39" s="659" customFormat="1"/>
    <row r="40" s="659" customFormat="1"/>
    <row r="41" s="659" customFormat="1"/>
    <row r="42" s="659" customFormat="1"/>
    <row r="43" s="659" customFormat="1"/>
    <row r="44" s="659" customFormat="1"/>
    <row r="45" s="659" customFormat="1"/>
    <row r="46" s="659" customFormat="1"/>
    <row r="47" s="659" customFormat="1"/>
    <row r="48" s="659" customFormat="1"/>
    <row r="49" s="659" customFormat="1"/>
    <row r="50" s="659" customFormat="1"/>
    <row r="51" s="659" customFormat="1"/>
    <row r="52" s="659" customFormat="1"/>
    <row r="53" s="659" customFormat="1"/>
    <row r="54" s="659" customFormat="1"/>
    <row r="55" s="659" customFormat="1"/>
    <row r="56" s="659" customFormat="1"/>
    <row r="57" s="659" customFormat="1"/>
    <row r="58" s="659" customFormat="1"/>
    <row r="59" s="659" customFormat="1"/>
    <row r="60" s="659" customFormat="1"/>
    <row r="61" s="659" customFormat="1"/>
    <row r="62" s="659" customFormat="1"/>
    <row r="63" s="659" customFormat="1"/>
    <row r="64" s="659" customFormat="1"/>
    <row r="65" s="659" customFormat="1"/>
    <row r="66" s="659" customFormat="1"/>
    <row r="67" s="659" customFormat="1"/>
    <row r="68" s="659" customFormat="1"/>
    <row r="69" s="659" customFormat="1"/>
    <row r="70" s="659" customFormat="1"/>
    <row r="71" s="659" customFormat="1"/>
    <row r="72" s="659" customFormat="1"/>
    <row r="73" s="659" customFormat="1"/>
    <row r="74" s="659" customFormat="1"/>
    <row r="75" s="659" customFormat="1"/>
    <row r="76" s="659" customFormat="1"/>
    <row r="77" s="659" customFormat="1"/>
    <row r="78" s="659" customFormat="1"/>
    <row r="79" s="659" customFormat="1"/>
    <row r="80" s="659" customFormat="1"/>
    <row r="81" s="659" customFormat="1"/>
    <row r="82" s="659" customFormat="1"/>
    <row r="83" s="659" customFormat="1"/>
    <row r="84" s="659" customFormat="1"/>
    <row r="85" s="659" customFormat="1"/>
    <row r="86" s="659" customFormat="1"/>
    <row r="87" s="659" customFormat="1"/>
    <row r="88" s="659" customFormat="1"/>
    <row r="89" s="659" customFormat="1"/>
    <row r="90" s="659" customFormat="1"/>
    <row r="91" s="659" customFormat="1"/>
    <row r="92" s="659" customFormat="1"/>
    <row r="93" s="659" customFormat="1"/>
    <row r="94" s="659" customFormat="1"/>
    <row r="95" s="659" customFormat="1"/>
    <row r="96" s="659" customFormat="1"/>
    <row r="97" s="659" customFormat="1"/>
    <row r="98" s="659" customFormat="1"/>
    <row r="99" s="659" customFormat="1"/>
    <row r="100" s="659" customFormat="1"/>
    <row r="101" s="659" customFormat="1"/>
    <row r="102" s="659" customFormat="1"/>
    <row r="103" s="659" customFormat="1"/>
    <row r="104" s="659" customFormat="1"/>
    <row r="105" s="659" customFormat="1"/>
    <row r="106" s="659" customFormat="1"/>
    <row r="107" s="659" customFormat="1"/>
    <row r="108" s="659" customFormat="1"/>
    <row r="109" s="659" customFormat="1"/>
    <row r="110" s="659" customFormat="1"/>
    <row r="111" s="659" customFormat="1"/>
    <row r="112" s="659" customFormat="1"/>
    <row r="113" s="659" customFormat="1"/>
    <row r="114" s="659" customFormat="1"/>
    <row r="115" s="659" customFormat="1"/>
    <row r="116" s="659" customFormat="1"/>
    <row r="117" s="659" customFormat="1"/>
    <row r="118" s="659" customFormat="1"/>
    <row r="119" s="659" customFormat="1"/>
    <row r="120" s="659" customFormat="1"/>
    <row r="121" s="659" customFormat="1"/>
    <row r="122" s="659" customFormat="1"/>
    <row r="123" s="659" customFormat="1"/>
    <row r="124" s="659" customFormat="1"/>
    <row r="125" s="659" customFormat="1"/>
    <row r="126" s="659" customFormat="1"/>
    <row r="127" s="659" customFormat="1"/>
    <row r="128" s="659" customFormat="1"/>
    <row r="129" s="659" customFormat="1"/>
    <row r="130" s="659" customFormat="1"/>
    <row r="131" s="659" customFormat="1"/>
    <row r="132" s="659" customFormat="1"/>
    <row r="133" s="659" customFormat="1"/>
    <row r="134" s="659" customFormat="1"/>
    <row r="135" s="659" customFormat="1"/>
    <row r="136" s="659" customFormat="1"/>
    <row r="137" s="659" customFormat="1"/>
    <row r="138" s="659" customFormat="1"/>
    <row r="139" s="659" customFormat="1"/>
    <row r="140" s="659" customFormat="1"/>
    <row r="141" s="659" customFormat="1"/>
    <row r="142" s="659" customFormat="1"/>
    <row r="143" s="659" customFormat="1"/>
    <row r="144" s="659" customFormat="1"/>
    <row r="145" s="659" customFormat="1"/>
    <row r="146" s="659" customFormat="1"/>
    <row r="147" s="659" customFormat="1"/>
    <row r="148" s="659" customFormat="1"/>
    <row r="149" s="659" customFormat="1"/>
    <row r="150" s="659" customFormat="1"/>
    <row r="151" s="659" customFormat="1"/>
    <row r="152" s="659" customFormat="1"/>
    <row r="153" s="659" customFormat="1"/>
    <row r="154" s="659" customFormat="1"/>
    <row r="155" s="659" customFormat="1"/>
    <row r="156" s="659" customFormat="1"/>
    <row r="157" s="659" customFormat="1"/>
    <row r="158" s="659" customFormat="1"/>
    <row r="159" s="659" customFormat="1"/>
    <row r="160" s="659" customFormat="1"/>
    <row r="161" s="659" customFormat="1"/>
    <row r="162" s="659" customFormat="1"/>
    <row r="163" s="659" customFormat="1"/>
    <row r="164" s="659" customFormat="1"/>
    <row r="165" s="659" customFormat="1"/>
    <row r="166" s="659" customFormat="1"/>
    <row r="167" s="659" customFormat="1"/>
    <row r="168" s="659" customFormat="1"/>
    <row r="169" s="659" customFormat="1"/>
    <row r="170" s="659" customFormat="1"/>
    <row r="171" s="659" customFormat="1"/>
    <row r="172" s="659" customFormat="1"/>
    <row r="173" s="659" customFormat="1"/>
    <row r="174" s="659" customFormat="1"/>
    <row r="175" s="659" customFormat="1"/>
    <row r="176" s="659" customFormat="1"/>
    <row r="177" s="659" customFormat="1"/>
    <row r="178" s="659" customFormat="1"/>
    <row r="179" s="659" customFormat="1"/>
    <row r="180" s="659" customFormat="1"/>
    <row r="181" s="659" customFormat="1"/>
    <row r="182" s="659" customFormat="1"/>
    <row r="183" s="659" customFormat="1"/>
    <row r="184" s="659" customFormat="1"/>
    <row r="185" s="659" customFormat="1"/>
    <row r="186" s="659" customFormat="1"/>
    <row r="187" s="659" customFormat="1"/>
    <row r="188" s="659" customFormat="1"/>
    <row r="189" s="659" customFormat="1"/>
    <row r="190" s="659" customFormat="1"/>
    <row r="191" s="659" customFormat="1"/>
    <row r="192" s="659" customFormat="1"/>
    <row r="193" s="659" customFormat="1"/>
    <row r="194" s="659" customFormat="1"/>
    <row r="195" s="659" customFormat="1"/>
    <row r="196" s="659" customFormat="1"/>
    <row r="197" s="659" customFormat="1"/>
    <row r="198" s="659" customFormat="1"/>
    <row r="199" s="659" customFormat="1"/>
    <row r="200" s="659" customFormat="1"/>
    <row r="201" s="659" customFormat="1"/>
    <row r="202" s="659" customFormat="1"/>
    <row r="203" s="659" customFormat="1"/>
    <row r="204" s="659" customFormat="1"/>
    <row r="205" s="659" customFormat="1"/>
    <row r="206" s="659" customFormat="1"/>
    <row r="207" s="659" customFormat="1"/>
    <row r="208" s="659" customFormat="1"/>
    <row r="209" s="659" customFormat="1"/>
    <row r="210" s="659" customFormat="1"/>
    <row r="211" s="659" customFormat="1"/>
    <row r="212" s="659" customFormat="1"/>
    <row r="213" s="659" customFormat="1"/>
    <row r="214" s="659" customFormat="1"/>
    <row r="215" s="659" customFormat="1"/>
    <row r="216" s="659" customFormat="1"/>
    <row r="217" s="659" customFormat="1"/>
    <row r="218" s="659" customFormat="1"/>
    <row r="219" s="659" customFormat="1"/>
    <row r="220" s="659" customFormat="1"/>
    <row r="221" s="659" customFormat="1"/>
    <row r="222" s="659" customFormat="1"/>
    <row r="223" s="659" customFormat="1"/>
    <row r="224" s="659" customFormat="1"/>
    <row r="225" s="659" customFormat="1"/>
    <row r="226" s="659" customFormat="1"/>
    <row r="227" s="659" customFormat="1"/>
    <row r="228" s="659" customFormat="1"/>
    <row r="229" s="659" customFormat="1"/>
    <row r="230" s="659" customFormat="1"/>
    <row r="231" s="659" customFormat="1"/>
    <row r="232" s="659" customFormat="1"/>
    <row r="233" s="659" customFormat="1"/>
    <row r="234" s="659" customFormat="1"/>
    <row r="235" s="659" customFormat="1"/>
    <row r="236" s="659" customFormat="1"/>
    <row r="237" s="659" customFormat="1"/>
    <row r="238" s="659" customFormat="1"/>
    <row r="239" s="659" customFormat="1"/>
    <row r="240" s="659" customFormat="1"/>
    <row r="241" s="659" customFormat="1"/>
    <row r="242" s="659" customFormat="1"/>
    <row r="243" s="659" customFormat="1"/>
    <row r="244" s="659" customFormat="1"/>
    <row r="245" s="659" customFormat="1"/>
    <row r="246" s="659" customFormat="1"/>
    <row r="247" s="659" customFormat="1"/>
    <row r="248" s="659" customFormat="1"/>
    <row r="249" s="659" customFormat="1"/>
    <row r="250" s="659" customFormat="1"/>
    <row r="251" s="659" customFormat="1"/>
    <row r="252" s="659" customFormat="1"/>
    <row r="253" s="659" customFormat="1"/>
    <row r="254" s="659" customFormat="1"/>
    <row r="255" s="659" customFormat="1"/>
    <row r="256" s="659" customFormat="1"/>
    <row r="257" s="659" customFormat="1"/>
    <row r="258" s="659" customFormat="1"/>
    <row r="259" s="659" customFormat="1"/>
    <row r="260" s="659" customFormat="1"/>
    <row r="261" s="659" customFormat="1"/>
    <row r="262" s="659" customFormat="1"/>
    <row r="263" s="659" customFormat="1"/>
    <row r="264" s="659" customFormat="1"/>
    <row r="265" s="659" customFormat="1"/>
    <row r="266" s="659" customFormat="1"/>
    <row r="267" s="659" customFormat="1"/>
    <row r="268" s="659" customFormat="1"/>
    <row r="269" s="659" customFormat="1"/>
    <row r="270" s="659" customFormat="1"/>
    <row r="271" s="659" customFormat="1"/>
    <row r="272" s="659" customFormat="1"/>
    <row r="273" s="659" customFormat="1"/>
    <row r="274" s="659" customFormat="1"/>
    <row r="275" s="659" customFormat="1"/>
    <row r="276" s="659" customFormat="1"/>
    <row r="277" s="659" customFormat="1"/>
    <row r="278" s="659" customFormat="1"/>
    <row r="279" s="659" customFormat="1"/>
    <row r="280" s="659" customFormat="1"/>
    <row r="281" s="659" customFormat="1"/>
    <row r="282" s="659" customFormat="1"/>
    <row r="283" s="659" customFormat="1"/>
    <row r="284" s="659" customFormat="1"/>
    <row r="285" s="659" customFormat="1"/>
    <row r="286" s="659" customFormat="1"/>
    <row r="287" s="659" customFormat="1"/>
    <row r="288" s="659" customFormat="1"/>
    <row r="289" s="659" customFormat="1"/>
    <row r="290" s="659" customFormat="1"/>
    <row r="291" s="659" customFormat="1"/>
    <row r="292" s="659" customFormat="1"/>
    <row r="293" s="659" customFormat="1"/>
    <row r="294" s="659" customFormat="1"/>
    <row r="295" s="659" customFormat="1"/>
    <row r="296" s="659" customFormat="1"/>
    <row r="297" s="659" customFormat="1"/>
    <row r="298" s="659" customFormat="1"/>
    <row r="299" s="659" customFormat="1"/>
    <row r="300" s="659" customFormat="1"/>
    <row r="301" s="659" customFormat="1"/>
    <row r="302" s="659" customFormat="1"/>
    <row r="303" s="659" customFormat="1"/>
    <row r="304" s="659" customFormat="1"/>
    <row r="305" s="659" customFormat="1"/>
    <row r="306" s="659" customFormat="1"/>
    <row r="307" s="659" customFormat="1"/>
    <row r="308" s="659" customFormat="1"/>
    <row r="309" s="659" customFormat="1"/>
    <row r="310" s="659" customFormat="1"/>
    <row r="311" s="659" customFormat="1"/>
    <row r="312" s="659" customFormat="1"/>
    <row r="313" s="659" customFormat="1"/>
    <row r="314" s="659" customFormat="1"/>
    <row r="315" s="659" customFormat="1"/>
    <row r="316" s="659" customFormat="1"/>
    <row r="317" s="659" customFormat="1"/>
    <row r="318" s="659" customFormat="1"/>
    <row r="319" s="659" customFormat="1"/>
    <row r="320" s="659" customFormat="1"/>
    <row r="321" s="659" customFormat="1"/>
    <row r="322" s="659" customFormat="1"/>
    <row r="323" s="659" customFormat="1"/>
    <row r="324" s="659" customFormat="1"/>
    <row r="325" s="659" customFormat="1"/>
    <row r="326" s="659" customFormat="1"/>
    <row r="327" s="659" customFormat="1"/>
    <row r="328" s="659" customFormat="1"/>
    <row r="329" s="659" customFormat="1"/>
    <row r="330" s="659" customFormat="1"/>
    <row r="331" s="659" customFormat="1"/>
    <row r="332" s="659" customFormat="1"/>
    <row r="333" s="659" customFormat="1"/>
    <row r="334" s="659" customFormat="1"/>
    <row r="335" s="659" customFormat="1"/>
    <row r="336" s="659" customFormat="1"/>
    <row r="337" s="659" customFormat="1"/>
    <row r="338" s="659" customFormat="1"/>
    <row r="339" s="659" customFormat="1"/>
    <row r="340" s="659" customFormat="1"/>
    <row r="341" s="659" customFormat="1"/>
    <row r="342" s="659" customFormat="1"/>
    <row r="343" s="659" customFormat="1"/>
    <row r="344" s="659" customFormat="1"/>
    <row r="345" s="659" customFormat="1"/>
    <row r="346" s="659" customFormat="1"/>
    <row r="347" s="659" customFormat="1"/>
    <row r="348" s="659" customFormat="1"/>
    <row r="349" s="659" customFormat="1"/>
    <row r="350" s="659" customFormat="1"/>
    <row r="351" s="659" customFormat="1"/>
    <row r="352" s="659" customFormat="1"/>
    <row r="353" s="659" customFormat="1"/>
    <row r="354" s="659" customFormat="1"/>
    <row r="355" s="659" customFormat="1"/>
    <row r="356" s="659" customFormat="1"/>
    <row r="357" s="659" customFormat="1"/>
    <row r="358" s="659" customFormat="1"/>
    <row r="359" s="659" customFormat="1"/>
    <row r="360" s="659" customFormat="1"/>
    <row r="361" s="659" customFormat="1"/>
    <row r="362" s="659" customFormat="1"/>
    <row r="363" s="659" customFormat="1"/>
    <row r="364" s="659" customFormat="1"/>
    <row r="365" s="659" customFormat="1"/>
    <row r="366" s="659" customFormat="1"/>
    <row r="367" s="659" customFormat="1"/>
    <row r="368" s="659" customFormat="1"/>
    <row r="369" s="659" customFormat="1"/>
    <row r="370" s="659" customFormat="1"/>
    <row r="371" s="659" customFormat="1"/>
    <row r="372" s="659" customFormat="1"/>
    <row r="373" s="659" customFormat="1"/>
    <row r="374" s="659" customFormat="1"/>
    <row r="375" s="659" customFormat="1"/>
    <row r="376" s="659" customFormat="1"/>
    <row r="377" s="659" customFormat="1"/>
    <row r="378" s="659" customFormat="1"/>
    <row r="379" s="659" customFormat="1"/>
    <row r="380" s="659" customFormat="1"/>
    <row r="381" s="659" customFormat="1"/>
    <row r="382" s="659" customFormat="1"/>
    <row r="383" s="659" customFormat="1"/>
    <row r="384" s="659" customFormat="1"/>
    <row r="385" s="659" customFormat="1"/>
    <row r="386" s="659" customFormat="1"/>
    <row r="387" s="659" customFormat="1"/>
    <row r="388" s="659" customFormat="1"/>
    <row r="389" s="659" customFormat="1"/>
    <row r="390" s="659" customFormat="1"/>
    <row r="391" s="659" customFormat="1"/>
    <row r="392" s="659" customFormat="1"/>
    <row r="393" s="659" customFormat="1"/>
    <row r="394" s="659" customFormat="1"/>
    <row r="395" s="659" customFormat="1"/>
    <row r="396" s="659" customFormat="1"/>
    <row r="397" s="659" customFormat="1"/>
    <row r="398" s="659" customFormat="1"/>
    <row r="399" s="659" customFormat="1"/>
    <row r="400" s="659" customFormat="1"/>
    <row r="401" s="659" customFormat="1"/>
    <row r="402" s="659" customFormat="1"/>
    <row r="403" s="659" customFormat="1"/>
    <row r="404" s="659" customFormat="1"/>
    <row r="405" s="659" customFormat="1"/>
    <row r="406" s="659" customFormat="1"/>
    <row r="407" s="659" customFormat="1"/>
    <row r="408" s="659" customFormat="1"/>
    <row r="409" s="659" customFormat="1"/>
    <row r="410" s="659" customFormat="1"/>
    <row r="411" s="659" customFormat="1"/>
    <row r="412" s="659" customFormat="1"/>
    <row r="413" s="659" customFormat="1"/>
    <row r="414" s="659" customFormat="1"/>
    <row r="415" s="659" customFormat="1"/>
    <row r="416" s="659" customFormat="1"/>
    <row r="417" s="659" customFormat="1"/>
    <row r="418" s="659" customFormat="1"/>
    <row r="419" s="659" customFormat="1"/>
    <row r="420" s="659" customFormat="1"/>
    <row r="421" s="659" customFormat="1"/>
    <row r="422" s="659" customFormat="1"/>
    <row r="423" s="659" customFormat="1"/>
    <row r="424" s="659" customFormat="1"/>
    <row r="425" s="659" customFormat="1"/>
    <row r="426" s="659" customFormat="1"/>
    <row r="427" s="659" customFormat="1"/>
    <row r="428" s="659" customFormat="1"/>
    <row r="429" s="659" customFormat="1"/>
    <row r="430" s="659" customFormat="1"/>
    <row r="431" s="659" customFormat="1"/>
    <row r="432" s="659" customFormat="1"/>
    <row r="433" s="659" customFormat="1"/>
    <row r="434" s="659" customFormat="1"/>
    <row r="435" s="659" customFormat="1"/>
    <row r="436" s="659" customFormat="1"/>
    <row r="437" s="659" customFormat="1"/>
    <row r="438" s="659" customFormat="1"/>
    <row r="439" s="659" customFormat="1"/>
    <row r="440" s="659" customFormat="1"/>
    <row r="441" s="659" customFormat="1"/>
    <row r="442" s="659" customFormat="1"/>
    <row r="443" s="659" customFormat="1"/>
    <row r="444" s="659" customFormat="1"/>
    <row r="445" s="659" customFormat="1"/>
    <row r="446" s="659" customFormat="1"/>
    <row r="447" s="659" customFormat="1"/>
    <row r="448" s="659" customFormat="1"/>
    <row r="449" s="659" customFormat="1"/>
    <row r="450" s="659" customFormat="1"/>
    <row r="451" s="659" customFormat="1"/>
    <row r="452" s="659" customFormat="1"/>
    <row r="453" s="659" customFormat="1"/>
    <row r="454" s="659" customFormat="1"/>
    <row r="455" s="659" customFormat="1"/>
    <row r="456" s="659" customFormat="1"/>
    <row r="457" s="659" customFormat="1"/>
    <row r="458" s="659" customFormat="1"/>
    <row r="459" s="659" customFormat="1"/>
    <row r="460" s="659" customFormat="1"/>
    <row r="461" s="659" customFormat="1"/>
    <row r="462" s="659" customFormat="1"/>
    <row r="463" s="659" customFormat="1"/>
    <row r="464" s="659" customFormat="1"/>
    <row r="465" s="659" customFormat="1"/>
    <row r="466" s="659" customFormat="1"/>
    <row r="467" s="659" customFormat="1"/>
    <row r="468" s="659" customFormat="1"/>
    <row r="469" s="659" customFormat="1"/>
    <row r="470" s="659" customFormat="1"/>
    <row r="471" s="659" customFormat="1"/>
    <row r="472" s="659" customFormat="1"/>
    <row r="473" s="659" customFormat="1"/>
    <row r="474" s="659" customFormat="1"/>
    <row r="475" s="659" customFormat="1"/>
    <row r="476" s="659" customFormat="1"/>
    <row r="477" s="659" customFormat="1"/>
    <row r="478" s="659" customFormat="1"/>
    <row r="479" s="659" customFormat="1"/>
    <row r="480" s="659" customFormat="1"/>
    <row r="481" s="659" customFormat="1"/>
    <row r="482" s="659" customFormat="1"/>
    <row r="483" s="659" customFormat="1"/>
    <row r="484" s="659" customFormat="1"/>
    <row r="485" s="659" customFormat="1"/>
    <row r="486" s="659" customFormat="1"/>
    <row r="487" s="659" customFormat="1"/>
    <row r="488" s="659" customFormat="1"/>
    <row r="489" s="659" customFormat="1"/>
    <row r="490" s="659" customFormat="1"/>
    <row r="491" s="659" customFormat="1"/>
    <row r="492" s="659" customFormat="1"/>
    <row r="493" s="659" customFormat="1"/>
    <row r="494" s="659" customFormat="1"/>
    <row r="495" s="659" customFormat="1"/>
    <row r="496" s="659" customFormat="1"/>
    <row r="497" s="659" customFormat="1"/>
    <row r="498" s="659" customFormat="1"/>
    <row r="499" s="659" customFormat="1"/>
    <row r="500" s="659" customFormat="1"/>
    <row r="501" s="659" customFormat="1"/>
    <row r="502" s="659" customFormat="1"/>
    <row r="503" s="659" customFormat="1"/>
    <row r="504" s="659" customFormat="1"/>
    <row r="505" s="659" customFormat="1"/>
    <row r="506" s="659" customFormat="1"/>
    <row r="507" s="659" customFormat="1"/>
    <row r="508" s="659" customFormat="1"/>
    <row r="509" s="659" customFormat="1"/>
    <row r="510" s="659" customFormat="1"/>
    <row r="511" s="659" customFormat="1"/>
    <row r="512" s="659" customFormat="1"/>
    <row r="513" s="659" customFormat="1"/>
    <row r="514" s="659" customFormat="1"/>
    <row r="515" s="659" customFormat="1"/>
    <row r="516" s="659" customFormat="1"/>
    <row r="517" s="659" customFormat="1"/>
    <row r="518" s="659" customFormat="1"/>
    <row r="519" s="659" customFormat="1"/>
    <row r="520" s="659" customFormat="1"/>
    <row r="521" s="659" customFormat="1"/>
    <row r="522" s="659" customFormat="1"/>
    <row r="523" s="659" customFormat="1"/>
    <row r="524" s="659" customFormat="1"/>
    <row r="525" s="659" customFormat="1"/>
    <row r="526" s="659" customFormat="1"/>
    <row r="527" s="659" customFormat="1"/>
    <row r="528" s="659" customFormat="1"/>
    <row r="529" s="659" customFormat="1"/>
    <row r="530" s="659" customFormat="1"/>
    <row r="531" s="659" customFormat="1"/>
    <row r="532" s="659" customFormat="1"/>
    <row r="533" s="659" customFormat="1"/>
    <row r="534" s="659" customFormat="1"/>
    <row r="535" s="659" customFormat="1"/>
    <row r="536" s="659" customFormat="1"/>
    <row r="537" s="659" customFormat="1"/>
    <row r="538" s="659" customFormat="1"/>
    <row r="539" s="659" customFormat="1"/>
    <row r="540" s="659" customFormat="1"/>
    <row r="541" s="659" customFormat="1"/>
    <row r="542" s="659" customFormat="1"/>
    <row r="543" s="659" customFormat="1"/>
    <row r="544" s="659" customFormat="1"/>
    <row r="545" s="659" customFormat="1"/>
    <row r="546" s="659" customFormat="1"/>
    <row r="547" s="659" customFormat="1"/>
    <row r="548" s="659" customFormat="1"/>
    <row r="549" s="659" customFormat="1"/>
    <row r="550" s="659" customFormat="1"/>
    <row r="551" s="659" customFormat="1"/>
    <row r="552" s="659" customFormat="1"/>
    <row r="553" s="659" customFormat="1"/>
    <row r="554" s="659" customFormat="1"/>
    <row r="555" s="659" customFormat="1"/>
    <row r="556" s="659" customFormat="1"/>
    <row r="557" s="659" customFormat="1"/>
    <row r="558" s="659" customFormat="1"/>
    <row r="559" s="659" customFormat="1"/>
    <row r="560" s="659" customFormat="1"/>
    <row r="561" s="659" customFormat="1"/>
    <row r="562" s="659" customFormat="1"/>
    <row r="563" s="659" customFormat="1"/>
    <row r="564" s="659" customFormat="1"/>
    <row r="565" s="659" customFormat="1"/>
    <row r="566" s="659" customFormat="1"/>
    <row r="567" s="659" customFormat="1"/>
    <row r="568" s="659" customFormat="1"/>
    <row r="569" s="659" customFormat="1"/>
    <row r="570" s="659" customFormat="1"/>
    <row r="571" s="659" customFormat="1"/>
    <row r="572" s="659" customFormat="1"/>
    <row r="573" s="659" customFormat="1"/>
    <row r="574" s="659" customFormat="1"/>
    <row r="575" s="659" customFormat="1"/>
    <row r="576" s="659" customFormat="1"/>
    <row r="577" s="659" customFormat="1"/>
    <row r="578" s="659" customFormat="1"/>
    <row r="579" s="659" customFormat="1"/>
    <row r="580" s="659" customFormat="1"/>
    <row r="581" s="659" customFormat="1"/>
    <row r="582" s="659" customFormat="1"/>
    <row r="583" s="659" customFormat="1"/>
    <row r="584" s="659" customFormat="1"/>
    <row r="585" s="659" customFormat="1"/>
    <row r="586" s="659" customFormat="1"/>
    <row r="587" s="659" customFormat="1"/>
    <row r="588" s="659" customFormat="1"/>
    <row r="589" s="659" customFormat="1"/>
    <row r="590" s="659" customFormat="1"/>
    <row r="591" s="659" customFormat="1"/>
    <row r="592" s="659" customFormat="1"/>
    <row r="593" s="659" customFormat="1"/>
    <row r="594" s="659" customFormat="1"/>
    <row r="595" s="659" customFormat="1"/>
    <row r="596" s="659" customFormat="1"/>
    <row r="597" s="659" customFormat="1"/>
    <row r="598" s="659" customFormat="1"/>
    <row r="599" s="659" customFormat="1"/>
    <row r="600" s="659" customFormat="1"/>
    <row r="601" s="659" customFormat="1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4:K14"/>
    <mergeCell ref="A15:K15"/>
    <mergeCell ref="B10:C10"/>
    <mergeCell ref="D10:E10"/>
    <mergeCell ref="B11:C11"/>
    <mergeCell ref="D11:E11"/>
    <mergeCell ref="B12:C12"/>
    <mergeCell ref="D12:E12"/>
    <mergeCell ref="B8:C8"/>
    <mergeCell ref="D8:E8"/>
    <mergeCell ref="B9:C9"/>
    <mergeCell ref="D9:E9"/>
    <mergeCell ref="B13:C13"/>
    <mergeCell ref="D13:E13"/>
    <mergeCell ref="B5:C5"/>
    <mergeCell ref="D5:E5"/>
    <mergeCell ref="B6:C6"/>
    <mergeCell ref="D6:E6"/>
    <mergeCell ref="B7:C7"/>
    <mergeCell ref="D7:E7"/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</mergeCells>
  <printOptions horizont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topLeftCell="XFD1048576" zoomScale="70" zoomScaleNormal="70" workbookViewId="0">
      <selection activeCell="A38" sqref="A1:XFD1048576"/>
    </sheetView>
  </sheetViews>
  <sheetFormatPr defaultColWidth="0" defaultRowHeight="15" customHeight="1" zeroHeight="1"/>
  <cols>
    <col min="1" max="16384" width="7.28515625" hidden="1"/>
  </cols>
  <sheetData>
    <row r="1" spans="1:27" ht="15" hidden="1" customHeight="1">
      <c r="A1" s="334" t="s">
        <v>364</v>
      </c>
      <c r="E1" t="s">
        <v>434</v>
      </c>
      <c r="I1" t="s">
        <v>481</v>
      </c>
      <c r="M1" t="s">
        <v>502</v>
      </c>
      <c r="Q1" t="s">
        <v>520</v>
      </c>
      <c r="R1" s="340" t="s">
        <v>3587</v>
      </c>
      <c r="S1" s="340" t="s">
        <v>519</v>
      </c>
      <c r="T1" s="340" t="s">
        <v>521</v>
      </c>
      <c r="U1" s="340" t="s">
        <v>3588</v>
      </c>
      <c r="V1" s="340" t="s">
        <v>3589</v>
      </c>
      <c r="W1" s="340" t="s">
        <v>522</v>
      </c>
      <c r="X1" s="340" t="s">
        <v>523</v>
      </c>
      <c r="Y1" s="277" t="s">
        <v>524</v>
      </c>
      <c r="Z1" s="277" t="s">
        <v>3586</v>
      </c>
      <c r="AA1" s="277" t="s">
        <v>3585</v>
      </c>
    </row>
    <row r="2" spans="1:27" ht="15" hidden="1" customHeight="1">
      <c r="A2" s="277" t="s">
        <v>365</v>
      </c>
      <c r="B2" s="335" t="str">
        <f>IF('DAP1'!J19&lt;&gt;"","A",IF('DAP1'!L19&lt;&gt;"","N",""))</f>
        <v>N</v>
      </c>
      <c r="C2" s="284" t="s">
        <v>3437</v>
      </c>
      <c r="E2" s="277" t="s">
        <v>435</v>
      </c>
      <c r="F2" s="335" t="str">
        <f>IF(ZAKL_DATA!B26&lt;&gt;"",ZAKL_DATA!B26,"")</f>
        <v/>
      </c>
      <c r="G2" s="284" t="s">
        <v>3438</v>
      </c>
      <c r="I2" s="277" t="s">
        <v>482</v>
      </c>
      <c r="J2" s="338">
        <f>'6Př'!E20</f>
        <v>0</v>
      </c>
      <c r="K2" s="1"/>
      <c r="M2" s="277" t="s">
        <v>503</v>
      </c>
      <c r="N2" s="338">
        <f>'DAP2'!F34</f>
        <v>0</v>
      </c>
      <c r="O2" s="284" t="s">
        <v>3438</v>
      </c>
      <c r="R2" s="335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35" t="e">
        <f>IF('DAP3'!B17&lt;&gt;"XXX",MID('DAP3'!B17,(FIND(" ",'DAP3'!B17,1))+1,LEN('DAP3'!B17)),"")</f>
        <v>#VALUE!</v>
      </c>
      <c r="T2" s="336" t="str">
        <f>IF('DAP3'!F17&lt;&gt;"",'DAP3'!F17,"")</f>
        <v/>
      </c>
      <c r="U2" s="336" t="str">
        <f>IF('DAP3'!H17&lt;&gt;"",'DAP3'!H17,"")</f>
        <v/>
      </c>
      <c r="V2" t="str">
        <f>IF('DAP3'!J17&lt;&gt;"",'DAP3'!J17,"")</f>
        <v/>
      </c>
      <c r="W2" s="335" t="e">
        <f>IF('DAP3'!B17&lt;&gt;"XXX",LEFT('DAP3'!B17,(FIND(" ",'DAP3'!B17,1))-1),"")</f>
        <v>#VALUE!</v>
      </c>
      <c r="X2" s="278" t="str">
        <f>IF('DAP3'!D17&lt;&gt;"",'DAP3'!D17,"")</f>
        <v/>
      </c>
      <c r="Y2" s="342" t="str">
        <f>IF('DAP3'!G17&lt;&gt;"",'DAP3'!G17,"")</f>
        <v/>
      </c>
      <c r="Z2" s="342" t="str">
        <f>IF('DAP3'!I17&lt;&gt;"",'DAP3'!I17,"")</f>
        <v/>
      </c>
      <c r="AA2" s="342" t="str">
        <f>IF('DAP3'!K17&lt;&gt;"",'DAP3'!K17,"")</f>
        <v/>
      </c>
    </row>
    <row r="3" spans="1:27" ht="15" hidden="1" customHeight="1">
      <c r="A3" s="277" t="s">
        <v>366</v>
      </c>
      <c r="B3" t="e">
        <f>VLOOKUP(ZAKL_DATA!B13,FU!B3:C17,2,FALSE)</f>
        <v>#N/A</v>
      </c>
      <c r="E3" s="277" t="s">
        <v>436</v>
      </c>
      <c r="I3" s="277" t="s">
        <v>483</v>
      </c>
      <c r="J3" s="338">
        <f>'6Př'!F20</f>
        <v>0</v>
      </c>
      <c r="K3" s="1"/>
      <c r="M3" s="277" t="s">
        <v>504</v>
      </c>
      <c r="N3" s="338">
        <f>'DAP2'!F27</f>
        <v>0</v>
      </c>
      <c r="O3" s="284" t="s">
        <v>3438</v>
      </c>
      <c r="R3" s="278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78" t="e">
        <f>IF('DAP3'!B18&lt;&gt;"XXX",MID('DAP3'!B18,(FIND(" ",'DAP3'!B18,1))+1,LEN('DAP3'!B18)),"")</f>
        <v>#VALUE!</v>
      </c>
      <c r="T3" t="str">
        <f>IF('DAP3'!F18&lt;&gt;"",'DAP3'!F18,"")</f>
        <v/>
      </c>
      <c r="U3" s="342" t="str">
        <f>IF('DAP3'!H18&lt;&gt;"",'DAP3'!H18,"")</f>
        <v/>
      </c>
      <c r="V3" t="str">
        <f>IF('DAP3'!J18&lt;&gt;"",'DAP3'!J18,"")</f>
        <v/>
      </c>
      <c r="W3" s="278" t="e">
        <f>IF('DAP3'!B18&lt;&gt;"XXX",LEFT('DAP3'!B18,(FIND(" ",'DAP3'!B18,1))-1),"")</f>
        <v>#VALUE!</v>
      </c>
      <c r="X3" s="278" t="str">
        <f>IF('DAP3'!D18&lt;&gt;"",'DAP3'!D18,"")</f>
        <v/>
      </c>
      <c r="Y3" s="342" t="str">
        <f>IF('DAP3'!G18&lt;&gt;"",'DAP3'!G18,"")</f>
        <v/>
      </c>
      <c r="Z3" s="342" t="str">
        <f>IF('DAP3'!I18&lt;&gt;"",'DAP3'!I18,"")</f>
        <v/>
      </c>
      <c r="AA3" s="342" t="str">
        <f>IF('DAP3'!K18&lt;&gt;"",'DAP3'!K18,"")</f>
        <v/>
      </c>
    </row>
    <row r="4" spans="1:27" ht="15" hidden="1" customHeight="1">
      <c r="A4" s="277" t="s">
        <v>367</v>
      </c>
      <c r="B4" s="278" t="str">
        <f>IF('DAP1'!K15&lt;&gt;"",TEXT('DAP1'!K15,"DD.MM.RRRR"),"")</f>
        <v/>
      </c>
      <c r="C4" s="344"/>
      <c r="E4" s="277" t="s">
        <v>437</v>
      </c>
      <c r="F4" s="335" t="str">
        <f>IF(ISNUMBER(FIND("/",ZAKL_DATA!B17)),MID(ZAKL_DATA!B17,(FIND("/",ZAKL_DATA!B17,1))+1,LEN(ZAKL_DATA!B17)),"")</f>
        <v/>
      </c>
      <c r="G4" s="284" t="s">
        <v>3438</v>
      </c>
      <c r="I4" s="277" t="s">
        <v>484</v>
      </c>
      <c r="J4" s="338">
        <f>'DAP2'!E6</f>
        <v>0</v>
      </c>
      <c r="K4" s="284" t="s">
        <v>3438</v>
      </c>
      <c r="M4" s="277" t="s">
        <v>505</v>
      </c>
      <c r="N4" s="338">
        <f>'DAP2'!F31</f>
        <v>0</v>
      </c>
      <c r="O4" s="284" t="s">
        <v>3438</v>
      </c>
      <c r="R4" s="278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78" t="e">
        <f>IF('DAP3'!B19&lt;&gt;"XXX",MID('DAP3'!B19,(FIND(" ",'DAP3'!B19,1))+1,LEN('DAP3'!B19)),"")</f>
        <v>#VALUE!</v>
      </c>
      <c r="T4" t="str">
        <f>IF('DAP3'!F19&lt;&gt;"",'DAP3'!F19,"")</f>
        <v/>
      </c>
      <c r="U4" s="342" t="str">
        <f>IF('DAP3'!H19&lt;&gt;"",'DAP3'!H19,"")</f>
        <v/>
      </c>
      <c r="V4" t="str">
        <f>IF('DAP3'!J19&lt;&gt;"",'DAP3'!J19,"")</f>
        <v/>
      </c>
      <c r="W4" s="278" t="e">
        <f>IF('DAP3'!B19&lt;&gt;"XXX",LEFT('DAP3'!B19,(FIND(" ",'DAP3'!B19,1))-1),"")</f>
        <v>#VALUE!</v>
      </c>
      <c r="X4" s="278" t="str">
        <f>IF('DAP3'!D19&lt;&gt;"",'DAP3'!D19,"")</f>
        <v/>
      </c>
      <c r="Y4" s="342" t="str">
        <f>IF('DAP3'!G19&lt;&gt;"",'DAP3'!G19,"")</f>
        <v/>
      </c>
      <c r="Z4" s="342" t="str">
        <f>IF('DAP3'!I19&lt;&gt;"",'DAP3'!I19,"")</f>
        <v/>
      </c>
      <c r="AA4" s="342" t="str">
        <f>IF('DAP3'!K19&lt;&gt;"",'DAP3'!K19,"")</f>
        <v/>
      </c>
    </row>
    <row r="5" spans="1:27" ht="15" hidden="1" customHeight="1">
      <c r="A5" s="277" t="s">
        <v>368</v>
      </c>
      <c r="B5" s="335" t="str">
        <f ca="1">TEXT('DAP4'!A42,"DD.MM.RRRR")</f>
        <v>08.06.2022</v>
      </c>
      <c r="C5" s="284" t="s">
        <v>3438</v>
      </c>
      <c r="E5" s="277" t="s">
        <v>438</v>
      </c>
      <c r="F5" s="335" t="str">
        <f>IF('DAP1'!J29&lt;&gt;"",'DAP1'!J29,"")</f>
        <v/>
      </c>
      <c r="G5" s="345" t="s">
        <v>3438</v>
      </c>
      <c r="I5" s="277" t="s">
        <v>485</v>
      </c>
      <c r="J5" s="338">
        <f>'DAP2'!E5</f>
        <v>0</v>
      </c>
      <c r="K5" s="284" t="s">
        <v>3438</v>
      </c>
      <c r="M5" s="277" t="s">
        <v>506</v>
      </c>
      <c r="N5" s="338">
        <f>'DAP2'!F24</f>
        <v>0</v>
      </c>
      <c r="O5" s="284" t="s">
        <v>3438</v>
      </c>
      <c r="R5" s="278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78" t="e">
        <f>IF('DAP3'!B20&lt;&gt;"XXX",MID('DAP3'!B20,(FIND(" ",'DAP3'!B20,1))+1,LEN('DAP3'!B20)),"")</f>
        <v>#VALUE!</v>
      </c>
      <c r="T5" t="str">
        <f>IF('DAP3'!F20&lt;&gt;"",'DAP3'!F20,"")</f>
        <v/>
      </c>
      <c r="U5" s="342" t="str">
        <f>IF('DAP3'!H20&lt;&gt;"",'DAP3'!H20,"")</f>
        <v/>
      </c>
      <c r="V5" t="str">
        <f>IF('DAP3'!J20&lt;&gt;"",'DAP3'!J20,"")</f>
        <v/>
      </c>
      <c r="W5" s="278" t="e">
        <f>IF('DAP3'!B20&lt;&gt;"XXX",LEFT('DAP3'!B20,(FIND(" ",'DAP3'!B20,1))-1),"")</f>
        <v>#VALUE!</v>
      </c>
      <c r="X5" s="278" t="str">
        <f>IF('DAP3'!D20&lt;&gt;"",'DAP3'!D20,"")</f>
        <v/>
      </c>
      <c r="Y5" s="342" t="str">
        <f>IF('DAP3'!G20&lt;&gt;"",'DAP3'!G20,"")</f>
        <v/>
      </c>
      <c r="Z5" s="342" t="str">
        <f>IF('DAP3'!I20&lt;&gt;"",'DAP3'!I20,"")</f>
        <v/>
      </c>
      <c r="AA5" s="342" t="str">
        <f>IF('DAP3'!K20&lt;&gt;"",'DAP3'!K20,"")</f>
        <v/>
      </c>
    </row>
    <row r="6" spans="1:27" ht="15" hidden="1" customHeight="1">
      <c r="A6" s="277" t="s">
        <v>369</v>
      </c>
      <c r="B6" s="335" t="str">
        <f>IF('DAP1'!K13&gt;0,TEXT('DAP1'!K13,"DD.MM.RRRR"),"")</f>
        <v/>
      </c>
      <c r="C6" s="284" t="s">
        <v>3438</v>
      </c>
      <c r="E6" s="277" t="s">
        <v>439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284" t="s">
        <v>3438</v>
      </c>
      <c r="I6" s="277" t="s">
        <v>486</v>
      </c>
      <c r="K6" s="284" t="s">
        <v>3441</v>
      </c>
      <c r="M6" s="277" t="s">
        <v>507</v>
      </c>
      <c r="N6" s="338">
        <f>'DAP2'!F25</f>
        <v>0</v>
      </c>
      <c r="O6" s="284" t="s">
        <v>3438</v>
      </c>
    </row>
    <row r="7" spans="1:27" ht="15" hidden="1" customHeight="1">
      <c r="A7" s="277" t="s">
        <v>370</v>
      </c>
      <c r="B7" s="338">
        <f>'DAP2'!F38</f>
        <v>0</v>
      </c>
      <c r="C7" s="284" t="s">
        <v>3438</v>
      </c>
      <c r="E7" s="277" t="s">
        <v>440</v>
      </c>
      <c r="F7" t="e">
        <f>VLOOKUP(ZAKL_DATA!B14,FU!E3:F204,2,FALSE)</f>
        <v>#N/A</v>
      </c>
      <c r="G7" s="284" t="s">
        <v>3438</v>
      </c>
      <c r="I7" s="277" t="s">
        <v>487</v>
      </c>
      <c r="J7" s="338">
        <f>'DAP2'!E4</f>
        <v>0</v>
      </c>
      <c r="K7" s="284" t="s">
        <v>3438</v>
      </c>
      <c r="M7" s="277" t="s">
        <v>508</v>
      </c>
      <c r="N7" s="338">
        <f>'DAP2'!F26</f>
        <v>0</v>
      </c>
      <c r="O7" s="284" t="s">
        <v>3438</v>
      </c>
      <c r="R7" s="370"/>
      <c r="S7" s="284" t="s">
        <v>3438</v>
      </c>
      <c r="T7" s="284" t="s">
        <v>3438</v>
      </c>
      <c r="U7" s="284" t="s">
        <v>3438</v>
      </c>
      <c r="V7" s="284" t="s">
        <v>3438</v>
      </c>
    </row>
    <row r="8" spans="1:27" ht="15" hidden="1" customHeight="1">
      <c r="A8" s="277" t="s">
        <v>371</v>
      </c>
      <c r="B8" s="338">
        <f>'DAP2'!F41</f>
        <v>0</v>
      </c>
      <c r="C8" s="284" t="s">
        <v>3438</v>
      </c>
      <c r="E8" s="277" t="s">
        <v>441</v>
      </c>
      <c r="F8" s="335" t="str">
        <f>IF(ZAKL_DATA!B25&lt;&gt;"",ZAKL_DATA!B25,"")</f>
        <v/>
      </c>
      <c r="G8" t="s">
        <v>3438</v>
      </c>
      <c r="I8" s="277" t="s">
        <v>488</v>
      </c>
      <c r="J8" s="338">
        <f>'DAP2'!E17</f>
        <v>0</v>
      </c>
      <c r="K8" s="284" t="s">
        <v>3438</v>
      </c>
      <c r="M8" s="277" t="s">
        <v>509</v>
      </c>
      <c r="N8" s="338">
        <f>'DAP2'!F22</f>
        <v>0</v>
      </c>
      <c r="O8" s="284" t="s">
        <v>3438</v>
      </c>
    </row>
    <row r="9" spans="1:27" ht="15" hidden="1" customHeight="1">
      <c r="A9" s="277" t="s">
        <v>372</v>
      </c>
      <c r="B9" s="338">
        <f>'DAP3'!E12</f>
        <v>0</v>
      </c>
      <c r="C9" s="284" t="s">
        <v>3438</v>
      </c>
      <c r="E9" s="277" t="s">
        <v>442</v>
      </c>
      <c r="F9" s="278" t="str">
        <f>MID(ZAKL_DATA!D2,3,10)</f>
        <v/>
      </c>
      <c r="G9" t="s">
        <v>3438</v>
      </c>
      <c r="I9" s="277" t="s">
        <v>489</v>
      </c>
      <c r="J9" s="338">
        <f>'DAP2'!E8</f>
        <v>0</v>
      </c>
      <c r="K9" s="284" t="s">
        <v>3438</v>
      </c>
      <c r="M9" s="277" t="s">
        <v>510</v>
      </c>
      <c r="N9" s="338">
        <f>'DAP2'!F23</f>
        <v>0</v>
      </c>
      <c r="O9" s="284" t="s">
        <v>3438</v>
      </c>
    </row>
    <row r="10" spans="1:27" ht="15" hidden="1" customHeight="1">
      <c r="A10" s="277" t="s">
        <v>373</v>
      </c>
      <c r="B10" s="338">
        <f>'DAP3'!D26</f>
        <v>0</v>
      </c>
      <c r="C10" s="284" t="s">
        <v>3438</v>
      </c>
      <c r="E10" s="277" t="s">
        <v>443</v>
      </c>
      <c r="F10" s="335" t="str">
        <f>IF(ZAKL_DATA!B27&lt;&gt;"",ZAKL_DATA!B27,"")</f>
        <v/>
      </c>
      <c r="G10" t="s">
        <v>3438</v>
      </c>
      <c r="I10" s="277" t="s">
        <v>490</v>
      </c>
      <c r="J10" s="338">
        <f>'DAP2'!E15</f>
        <v>0</v>
      </c>
      <c r="K10" s="284" t="s">
        <v>3438</v>
      </c>
      <c r="M10" s="277" t="s">
        <v>511</v>
      </c>
      <c r="N10" s="338">
        <f>'DAP2'!F28</f>
        <v>0</v>
      </c>
      <c r="O10" s="284" t="s">
        <v>3438</v>
      </c>
    </row>
    <row r="11" spans="1:27" ht="15" hidden="1" customHeight="1">
      <c r="A11" s="277" t="s">
        <v>374</v>
      </c>
      <c r="B11" s="339">
        <f>'DAP2'!F36</f>
        <v>0</v>
      </c>
      <c r="C11" s="284" t="s">
        <v>3438</v>
      </c>
      <c r="E11" s="277" t="s">
        <v>444</v>
      </c>
      <c r="F11" s="335" t="str">
        <f>IF(ZAKL_DATA!B4&lt;&gt;"",ZAKL_DATA!B4,"")</f>
        <v/>
      </c>
      <c r="G11" t="s">
        <v>3438</v>
      </c>
      <c r="I11" s="277" t="s">
        <v>491</v>
      </c>
      <c r="J11" s="338" t="e">
        <f>'DAP2'!#REF!</f>
        <v>#REF!</v>
      </c>
      <c r="K11" s="284" t="s">
        <v>3438</v>
      </c>
      <c r="M11" s="277" t="s">
        <v>512</v>
      </c>
      <c r="N11" s="338">
        <f>'DAP2'!F29</f>
        <v>0</v>
      </c>
      <c r="O11" s="284" t="s">
        <v>3438</v>
      </c>
      <c r="X11" s="284"/>
    </row>
    <row r="12" spans="1:27" ht="15" hidden="1" customHeight="1">
      <c r="A12" s="277" t="s">
        <v>375</v>
      </c>
      <c r="B12" s="335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284" t="s">
        <v>3438</v>
      </c>
      <c r="E12" s="277" t="s">
        <v>445</v>
      </c>
      <c r="F12" s="278" t="str">
        <f>IF(AND(ZAKL_DATA!B20&lt;&gt;"",ZAKL_DATA!B20&lt;&gt;0),IF(ZAKL_DATA!B20&lt;&gt;"ČESKÁ REPUBLIKA",VLOOKUP(ZAKL_DATA!B20,FU!J3:K253,2,FALSE),"CZ"),"CZ")</f>
        <v>CZ</v>
      </c>
      <c r="G12" t="s">
        <v>3438</v>
      </c>
      <c r="I12" s="277" t="s">
        <v>492</v>
      </c>
      <c r="J12" s="338" t="e">
        <f>'DAP2'!#REF!</f>
        <v>#REF!</v>
      </c>
      <c r="K12" s="284" t="s">
        <v>3438</v>
      </c>
      <c r="M12" s="277" t="s">
        <v>513</v>
      </c>
      <c r="N12" s="338">
        <f>'DAP2'!F29</f>
        <v>0</v>
      </c>
      <c r="O12" s="284" t="s">
        <v>3438</v>
      </c>
    </row>
    <row r="13" spans="1:27" ht="15" hidden="1" customHeight="1">
      <c r="A13" s="277" t="s">
        <v>376</v>
      </c>
      <c r="B13" s="356" t="s">
        <v>3981</v>
      </c>
      <c r="C13" s="284" t="s">
        <v>3439</v>
      </c>
      <c r="E13" s="277" t="s">
        <v>446</v>
      </c>
      <c r="G13" s="1"/>
      <c r="I13" s="277" t="s">
        <v>493</v>
      </c>
      <c r="J13" s="338">
        <f>'DAP2'!E19</f>
        <v>0</v>
      </c>
      <c r="K13" s="284" t="s">
        <v>3438</v>
      </c>
      <c r="M13" s="277" t="s">
        <v>514</v>
      </c>
      <c r="N13" s="338">
        <f>'DAP2'!F32</f>
        <v>0</v>
      </c>
      <c r="O13" s="284" t="s">
        <v>3438</v>
      </c>
    </row>
    <row r="14" spans="1:27" ht="15" hidden="1" customHeight="1">
      <c r="A14" s="277" t="s">
        <v>377</v>
      </c>
      <c r="B14" s="335" t="str">
        <f>IF(OR('DAP1'!A15="i",'DAP1'!A15="I"),"I",IF(OR('DAP1'!A15="g",'DAP1'!A15="G"),"G",""))</f>
        <v/>
      </c>
      <c r="C14" s="284" t="s">
        <v>3438</v>
      </c>
      <c r="E14" s="277" t="s">
        <v>447</v>
      </c>
      <c r="F14" s="335" t="str">
        <f>IF(ISNUMBER(FIND("/",'DAP1'!J35)),MID('DAP1'!J35,(FIND("/",'DAP1'!J35,1))+1,LEN('DAP1'!J35)),"")</f>
        <v/>
      </c>
      <c r="G14" s="1"/>
      <c r="I14" s="277" t="s">
        <v>494</v>
      </c>
      <c r="J14" s="338">
        <f>'DAP2'!E16</f>
        <v>0</v>
      </c>
      <c r="K14" s="284" t="s">
        <v>3438</v>
      </c>
      <c r="M14" s="277" t="s">
        <v>515</v>
      </c>
      <c r="N14" s="338">
        <f>'DAP2'!F33</f>
        <v>0</v>
      </c>
      <c r="O14" s="284" t="s">
        <v>3438</v>
      </c>
      <c r="Y14" s="369"/>
    </row>
    <row r="15" spans="1:27" ht="15" hidden="1" customHeight="1">
      <c r="A15" s="277" t="s">
        <v>378</v>
      </c>
      <c r="B15" s="335" t="s">
        <v>3440</v>
      </c>
      <c r="C15" s="284" t="s">
        <v>3439</v>
      </c>
      <c r="E15" s="277" t="s">
        <v>448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G15" s="1"/>
      <c r="I15" s="277" t="s">
        <v>495</v>
      </c>
      <c r="J15" s="338">
        <f>'DAP2'!E12</f>
        <v>0</v>
      </c>
      <c r="K15" s="284" t="s">
        <v>3438</v>
      </c>
      <c r="M15" s="277" t="s">
        <v>516</v>
      </c>
      <c r="N15">
        <f>'DAP2'!E29</f>
        <v>0</v>
      </c>
      <c r="O15" s="284" t="s">
        <v>3438</v>
      </c>
    </row>
    <row r="16" spans="1:27" ht="15" hidden="1" customHeight="1">
      <c r="A16" s="277" t="s">
        <v>379</v>
      </c>
      <c r="B16">
        <f>'DAP1'!K41</f>
        <v>0</v>
      </c>
      <c r="C16" s="284" t="s">
        <v>3438</v>
      </c>
      <c r="E16" s="277" t="s">
        <v>449</v>
      </c>
      <c r="F16" s="335" t="str">
        <f>IF('DAP1'!B35&lt;&gt;"",'DAP1'!B35,"")</f>
        <v/>
      </c>
      <c r="G16" s="1"/>
      <c r="I16" s="277" t="s">
        <v>496</v>
      </c>
      <c r="J16" s="338">
        <f>'DAP2'!E14</f>
        <v>0</v>
      </c>
      <c r="K16" s="284" t="s">
        <v>3438</v>
      </c>
      <c r="M16" s="277" t="s">
        <v>517</v>
      </c>
      <c r="N16">
        <f>'DAP2'!E23</f>
        <v>0</v>
      </c>
      <c r="O16" s="284" t="s">
        <v>3438</v>
      </c>
    </row>
    <row r="17" spans="1:23" ht="15" hidden="1" customHeight="1">
      <c r="A17" s="277" t="s">
        <v>380</v>
      </c>
      <c r="B17" s="338">
        <f>'DAP3'!D29</f>
        <v>0</v>
      </c>
      <c r="C17" s="284" t="s">
        <v>3438</v>
      </c>
      <c r="E17" s="277" t="s">
        <v>450</v>
      </c>
      <c r="F17" s="335" t="str">
        <f>IF('DAP1'!L35&lt;&gt;"",'DAP1'!L35,"")</f>
        <v/>
      </c>
      <c r="G17" s="1"/>
      <c r="I17" s="277" t="s">
        <v>497</v>
      </c>
      <c r="J17" s="338">
        <f>'DAP2'!E10</f>
        <v>0</v>
      </c>
      <c r="K17" s="284" t="s">
        <v>3438</v>
      </c>
      <c r="M17" s="277" t="s">
        <v>518</v>
      </c>
      <c r="N17" s="278">
        <f>'DAP2'!C29</f>
        <v>0</v>
      </c>
      <c r="O17" s="284" t="s">
        <v>3438</v>
      </c>
    </row>
    <row r="18" spans="1:23" ht="15" hidden="1" customHeight="1">
      <c r="A18" s="277" t="s">
        <v>381</v>
      </c>
      <c r="B18" s="338">
        <f>'DAP3'!D23</f>
        <v>0</v>
      </c>
      <c r="C18" s="284" t="s">
        <v>3438</v>
      </c>
      <c r="E18" s="277" t="s">
        <v>451</v>
      </c>
      <c r="F18" s="335" t="str">
        <f>IF('DAP1'!G35&lt;&gt;"",'DAP1'!G35,"")</f>
        <v/>
      </c>
      <c r="G18" s="1"/>
      <c r="I18" s="277" t="s">
        <v>498</v>
      </c>
      <c r="J18" s="338">
        <f>'DAP2'!E7</f>
        <v>0</v>
      </c>
      <c r="K18" s="284" t="s">
        <v>3438</v>
      </c>
    </row>
    <row r="19" spans="1:23" ht="15" hidden="1" customHeight="1">
      <c r="A19" s="277" t="s">
        <v>382</v>
      </c>
      <c r="B19" s="338">
        <f>'DAP3'!E9</f>
        <v>0</v>
      </c>
      <c r="C19" s="284" t="s">
        <v>3438</v>
      </c>
      <c r="E19" s="277" t="s">
        <v>452</v>
      </c>
      <c r="F19" s="278" t="str">
        <f>IF(ZAKL_DATA!B18&lt;&gt;"",ZAKL_DATA!B18,"")</f>
        <v/>
      </c>
      <c r="G19" t="s">
        <v>3438</v>
      </c>
      <c r="I19" s="277" t="s">
        <v>499</v>
      </c>
      <c r="J19" s="338">
        <f>'DAP2'!E11</f>
        <v>0</v>
      </c>
      <c r="K19" s="284" t="s">
        <v>3438</v>
      </c>
    </row>
    <row r="20" spans="1:23" ht="15" hidden="1" customHeight="1">
      <c r="A20" s="277" t="s">
        <v>383</v>
      </c>
      <c r="B20" s="338">
        <f>'DAP2'!F39</f>
        <v>0</v>
      </c>
      <c r="C20" s="284" t="s">
        <v>3438</v>
      </c>
      <c r="E20" s="277" t="s">
        <v>453</v>
      </c>
      <c r="F20" s="278" t="str">
        <f>IF(AND(ZAKL_DATA!D4&lt;&gt;"",ZAKL_DATA!D14&lt;&gt;"",'DAP4'!C29&lt;&gt;"4a",'DAP4'!C29&lt;&gt;"4b"),ZAKL_DATA!D14,"")</f>
        <v/>
      </c>
      <c r="G20" s="1" t="s">
        <v>3449</v>
      </c>
      <c r="I20" s="277" t="s">
        <v>500</v>
      </c>
      <c r="J20" s="338">
        <f>'DAP2'!E13</f>
        <v>0</v>
      </c>
      <c r="K20" s="284" t="s">
        <v>3438</v>
      </c>
      <c r="Q20" t="s">
        <v>600</v>
      </c>
      <c r="R20" s="277" t="s">
        <v>578</v>
      </c>
      <c r="S20" s="280" t="s">
        <v>579</v>
      </c>
      <c r="T20" s="280" t="s">
        <v>576</v>
      </c>
      <c r="U20" s="280" t="s">
        <v>580</v>
      </c>
    </row>
    <row r="21" spans="1:23" ht="15" hidden="1" customHeight="1">
      <c r="A21" s="277" t="s">
        <v>384</v>
      </c>
      <c r="B21" s="338">
        <f>'DAP3'!D47</f>
        <v>0</v>
      </c>
      <c r="C21" s="284" t="s">
        <v>3438</v>
      </c>
      <c r="E21" s="277" t="s">
        <v>454</v>
      </c>
      <c r="F21" s="278" t="str">
        <f>IF(AND(ZAKL_DATA!D4&lt;&gt;"",ZAKL_DATA!D17&lt;&gt;"",'DAP4'!C29&lt;&gt;"4a",'DAP4'!C29&lt;&gt;"4b"),ZAKL_DATA!D17,"")</f>
        <v/>
      </c>
      <c r="G21" s="1" t="s">
        <v>3449</v>
      </c>
      <c r="I21" s="277" t="s">
        <v>501</v>
      </c>
      <c r="J21" s="338">
        <f>'DAP2'!E18</f>
        <v>0</v>
      </c>
      <c r="K21" s="284" t="s">
        <v>3438</v>
      </c>
      <c r="R21" t="str">
        <f t="shared" ref="R21:R23" si="0">IF(ISNUMBER(W21),IF(VALUE(W21)&gt;99999,VALUE(W21),IF(VALUE(W21)&gt;9999,VALUE(W21)*10,IF(VALUE(W21)&gt;999,VALUE(W21)*100,IF(VALUE(W21)&gt;99,VALUE(W21)*1000,IF(VALUE(W21)&gt;9,VALUE(W21)*10000,VALUE(W21)*100000))))),"")</f>
        <v/>
      </c>
      <c r="S21" s="338" t="str">
        <f>IF('1Př1'!F32&lt;&gt;0,'1Př1'!F32,"")</f>
        <v/>
      </c>
      <c r="T21" t="str">
        <f>IF(AND('1Př1'!D32&lt;&gt;0,'1Př1'!D32&lt;&gt;""),100*'1Př1'!D32,"")</f>
        <v/>
      </c>
      <c r="U21" s="338" t="str">
        <f>IF(ISNUMBER(W21),'1Př1'!H32,"")</f>
        <v/>
      </c>
      <c r="W21" t="e">
        <f>UPPER(VLOOKUP('1Př1'!A32,FU!N3:O992,2,FALSE))</f>
        <v>#N/A</v>
      </c>
    </row>
    <row r="22" spans="1:23" ht="15" hidden="1" customHeight="1">
      <c r="A22" s="277" t="s">
        <v>385</v>
      </c>
      <c r="B22" s="338">
        <f>'DAP3'!E4</f>
        <v>0</v>
      </c>
      <c r="C22" s="284" t="s">
        <v>3438</v>
      </c>
      <c r="E22" s="277" t="s">
        <v>455</v>
      </c>
      <c r="F22" s="278" t="str">
        <f>IF(AND(ZAKL_DATA!D4&lt;&gt;"",ZAKL_DATA!D15&lt;&gt;"",'DAP4'!C29&lt;&gt;"4a",'DAP4'!C29&lt;&gt;"4b"),ZAKL_DATA!D15,"")</f>
        <v/>
      </c>
      <c r="G22" s="1" t="s">
        <v>3449</v>
      </c>
      <c r="R22" t="str">
        <f t="shared" si="0"/>
        <v/>
      </c>
      <c r="S22" s="338" t="str">
        <f>IF('1Př1'!F33&lt;&gt;0,'1Př1'!F33,"")</f>
        <v/>
      </c>
      <c r="T22" t="str">
        <f>IF(AND('1Př1'!D33&lt;&gt;0,'1Př1'!D33&lt;&gt;""),100*'1Př1'!D33,"")</f>
        <v/>
      </c>
      <c r="U22" s="338" t="str">
        <f>IF(ISNUMBER(W22),'1Př1'!H33,"")</f>
        <v/>
      </c>
      <c r="W22" t="e">
        <f>UPPER(VLOOKUP('1Př1'!A33,FU!N3:O992,2,FALSE))</f>
        <v>#N/A</v>
      </c>
    </row>
    <row r="23" spans="1:23" ht="15" hidden="1" customHeight="1">
      <c r="A23" s="277" t="s">
        <v>386</v>
      </c>
      <c r="B23" s="338">
        <f>'DAP3'!E2</f>
        <v>27840</v>
      </c>
      <c r="C23" s="284" t="s">
        <v>3438</v>
      </c>
      <c r="E23" s="277" t="s">
        <v>456</v>
      </c>
      <c r="F23" s="335" t="str">
        <f>IF(ZAKL_DATA!B5&lt;&gt;"",ZAKL_DATA!B5,"")</f>
        <v/>
      </c>
      <c r="G23" s="1" t="s">
        <v>3438</v>
      </c>
      <c r="R23" t="str">
        <f t="shared" si="0"/>
        <v/>
      </c>
      <c r="S23" s="338" t="str">
        <f>IF('1Př1'!F34&lt;&gt;0,'1Př1'!F34,"")</f>
        <v/>
      </c>
      <c r="T23" t="str">
        <f>IF(AND('1Př1'!D34&lt;&gt;0,'1Př1'!D34&lt;&gt;""),100*'1Př1'!D34,"")</f>
        <v/>
      </c>
      <c r="U23" s="338" t="str">
        <f>IF(ISNUMBER(W23),'1Př1'!H34,"")</f>
        <v/>
      </c>
      <c r="W23" t="e">
        <f>UPPER(VLOOKUP('1Př1'!A34,FU!N3:O992,2,FALSE))</f>
        <v>#N/A</v>
      </c>
    </row>
    <row r="24" spans="1:23" ht="15" hidden="1" customHeight="1">
      <c r="A24" s="277" t="s">
        <v>387</v>
      </c>
      <c r="B24" s="338">
        <f>'DAP3'!E3</f>
        <v>0</v>
      </c>
      <c r="C24" s="284" t="s">
        <v>3438</v>
      </c>
      <c r="E24" s="277" t="s">
        <v>457</v>
      </c>
      <c r="F24" s="335" t="str">
        <f>IF(ZAKL_DATA!B19&lt;&gt;"",ZAKL_DATA!B19,"")</f>
        <v/>
      </c>
      <c r="G24" t="s">
        <v>3438</v>
      </c>
      <c r="K24" t="e">
        <f>LEN(LEFT('DAP3'!#REF!,(FIND(" ",'DAP3'!#REF!,1))))</f>
        <v>#REF!</v>
      </c>
    </row>
    <row r="25" spans="1:23" ht="15" hidden="1" customHeight="1">
      <c r="A25" s="277" t="s">
        <v>388</v>
      </c>
      <c r="B25" s="338">
        <f>'DAP3'!E5</f>
        <v>0</v>
      </c>
      <c r="C25" s="284" t="s">
        <v>3438</v>
      </c>
      <c r="E25" s="277" t="s">
        <v>458</v>
      </c>
      <c r="F25" s="335" t="str">
        <f>IF(ZAKL_DATA!B9&lt;&gt;"",ZAKL_DATA!B9,"")</f>
        <v/>
      </c>
      <c r="G25" t="s">
        <v>3438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3438</v>
      </c>
      <c r="S25" t="s">
        <v>3438</v>
      </c>
      <c r="T25" t="s">
        <v>3438</v>
      </c>
      <c r="U25" t="s">
        <v>3438</v>
      </c>
    </row>
    <row r="26" spans="1:23" ht="15" hidden="1" customHeight="1">
      <c r="A26" s="277" t="s">
        <v>389</v>
      </c>
      <c r="B26" s="338">
        <f>'DAP3'!E6</f>
        <v>0</v>
      </c>
      <c r="C26" s="284" t="s">
        <v>3438</v>
      </c>
      <c r="E26" s="277" t="s">
        <v>459</v>
      </c>
      <c r="F26" s="335" t="str">
        <f>IF(ZAKL_DATA!B6&lt;&gt;"",ZAKL_DATA!B6,"")</f>
        <v/>
      </c>
      <c r="G26" t="s">
        <v>3438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23" ht="15" hidden="1" customHeight="1">
      <c r="A27" s="277" t="s">
        <v>390</v>
      </c>
      <c r="B27" s="338">
        <f>'DAP3'!E7</f>
        <v>0</v>
      </c>
      <c r="C27" s="284" t="s">
        <v>3438</v>
      </c>
      <c r="E27" s="277" t="s">
        <v>460</v>
      </c>
      <c r="F27" s="278"/>
      <c r="G27" s="284" t="s">
        <v>3442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23" ht="15" hidden="1" customHeight="1">
      <c r="A28" s="277" t="s">
        <v>391</v>
      </c>
      <c r="B28" s="338">
        <f>'DAP3'!D42</f>
        <v>0</v>
      </c>
      <c r="C28" s="284" t="s">
        <v>3438</v>
      </c>
      <c r="E28" s="277" t="s">
        <v>461</v>
      </c>
      <c r="F28" s="335" t="str">
        <f>IF(AND(ZAKL_DATA!B20&lt;&gt;"ČESKÁ REPUBLIKA",ZAKL_DATA!B20&lt;&gt;""), VLOOKUP(ZAKL_DATA!B20,FU!J3:K253,2,FALSE), "")</f>
        <v/>
      </c>
      <c r="G28" s="284" t="s">
        <v>3438</v>
      </c>
    </row>
    <row r="29" spans="1:23" ht="15" hidden="1" customHeight="1">
      <c r="A29" s="277" t="s">
        <v>392</v>
      </c>
      <c r="B29" s="338"/>
      <c r="C29" s="284" t="s">
        <v>3441</v>
      </c>
      <c r="E29" s="277" t="s">
        <v>462</v>
      </c>
      <c r="F29" s="335" t="str">
        <f>IF(ZAKL_DATA!B7&lt;&gt;"",ZAKL_DATA!B7,"")</f>
        <v/>
      </c>
      <c r="G29" s="284" t="s">
        <v>3438</v>
      </c>
    </row>
    <row r="30" spans="1:23" ht="15" hidden="1" customHeight="1">
      <c r="A30" s="277" t="s">
        <v>393</v>
      </c>
      <c r="B30" s="338" t="str">
        <f>IF(AND('DAP3'!D33&lt;&gt;"",'DAP3'!D33&lt;&gt;0),'DAP3'!D33,"")</f>
        <v/>
      </c>
      <c r="C30" s="284" t="s">
        <v>3438</v>
      </c>
      <c r="E30" s="277" t="s">
        <v>463</v>
      </c>
      <c r="F30" s="335" t="str">
        <f>IF(ZAKL_DATA!B16&lt;&gt;"",ZAKL_DATA!B16,"")</f>
        <v/>
      </c>
      <c r="G30" s="284" t="s">
        <v>3438</v>
      </c>
      <c r="I30" t="s">
        <v>525</v>
      </c>
      <c r="M30" t="s">
        <v>547</v>
      </c>
    </row>
    <row r="31" spans="1:23" ht="15" hidden="1" customHeight="1">
      <c r="A31" s="277" t="s">
        <v>394</v>
      </c>
      <c r="B31" s="338" t="str">
        <f>IF(AND('DAP3'!D36&lt;&gt;"",'DAP3'!D36&lt;&gt;0),'DAP3'!D36,"")</f>
        <v/>
      </c>
      <c r="C31" s="284" t="s">
        <v>3438</v>
      </c>
      <c r="E31" s="277" t="s">
        <v>464</v>
      </c>
      <c r="F31" s="335" t="str">
        <f>IF(ISNUMBER('DAP1'!I39),'DAP1'!I39,"")</f>
        <v/>
      </c>
      <c r="G31" s="1"/>
      <c r="I31" s="277" t="s">
        <v>526</v>
      </c>
      <c r="J31">
        <f>'DAP4'!K24</f>
        <v>0</v>
      </c>
      <c r="K31" t="s">
        <v>3438</v>
      </c>
      <c r="M31" s="277" t="s">
        <v>548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s="1" t="e">
        <f>UPPER(VLOOKUP(ZAKL_DATA!B29,FU!N3:O1699,2,FALSE))</f>
        <v>#N/A</v>
      </c>
    </row>
    <row r="32" spans="1:23" ht="15" hidden="1" customHeight="1">
      <c r="A32" s="277" t="s">
        <v>395</v>
      </c>
      <c r="B32" s="338">
        <f>'DAP3'!D31</f>
        <v>0</v>
      </c>
      <c r="C32" s="284" t="s">
        <v>3438</v>
      </c>
      <c r="E32" s="277" t="s">
        <v>465</v>
      </c>
      <c r="F32" s="342"/>
      <c r="G32" s="1"/>
      <c r="I32" s="277" t="s">
        <v>527</v>
      </c>
      <c r="J32">
        <f>'DAP4'!K10</f>
        <v>0</v>
      </c>
      <c r="K32" t="s">
        <v>3438</v>
      </c>
      <c r="M32" s="277" t="s">
        <v>549</v>
      </c>
      <c r="N32" s="338">
        <f>'1Př1'!F35</f>
        <v>0</v>
      </c>
      <c r="O32" s="284" t="s">
        <v>3438</v>
      </c>
    </row>
    <row r="33" spans="1:19" ht="15" hidden="1" customHeight="1">
      <c r="A33" s="277" t="s">
        <v>396</v>
      </c>
      <c r="B33" s="338" t="str">
        <f>IF(AND('DAP3'!D35&lt;&gt;"",'DAP3'!D35&lt;&gt;0),'DAP3'!D35,"")</f>
        <v/>
      </c>
      <c r="C33" s="284" t="s">
        <v>3438</v>
      </c>
      <c r="E33" s="277" t="s">
        <v>466</v>
      </c>
      <c r="F33" s="335" t="str">
        <f>IF(ISNUMBER(FIND("/",'DAP1'!L38)),MID('DAP1'!L38,(FIND("/",'DAP1'!L38,1))+1,LEN('DAP1'!L38)),"")</f>
        <v/>
      </c>
      <c r="G33" s="1"/>
      <c r="I33" s="277" t="s">
        <v>528</v>
      </c>
      <c r="J33">
        <f>'DAP4'!K17</f>
        <v>0</v>
      </c>
      <c r="K33" t="s">
        <v>3438</v>
      </c>
      <c r="M33" s="277" t="s">
        <v>550</v>
      </c>
      <c r="N33" s="338">
        <f>'1Př1'!H35</f>
        <v>0</v>
      </c>
      <c r="O33" s="284" t="s">
        <v>3438</v>
      </c>
    </row>
    <row r="34" spans="1:19" ht="15" hidden="1" customHeight="1">
      <c r="A34" s="277" t="s">
        <v>397</v>
      </c>
      <c r="B34" s="338" t="str">
        <f>IF(AND('DAP3'!D38&lt;&gt;"",'DAP3'!D38&lt;&gt;0),'DAP3'!D38,"")</f>
        <v/>
      </c>
      <c r="C34" s="284" t="s">
        <v>3438</v>
      </c>
      <c r="E34" s="277" t="s">
        <v>467</v>
      </c>
      <c r="F34" s="342" t="str">
        <f>IF(IF(ISNUMBER(FIND("/",'DAP1'!L38)),LEFT('DAP1'!L38,(FIND("/",'DAP1'!L38,1))-1),'DAP1'!L38)&lt;&gt;0,IF(ISNUMBER(FIND("/",'DAP1'!L38)),LEFT('DAP1'!L38,(FIND("/",'DAP1'!L38,1))-1),'DAP1'!L38),"")</f>
        <v/>
      </c>
      <c r="G34" s="1"/>
      <c r="I34" s="277" t="s">
        <v>529</v>
      </c>
      <c r="K34" s="284" t="s">
        <v>3715</v>
      </c>
      <c r="M34" s="277" t="s">
        <v>551</v>
      </c>
      <c r="N34" s="335" t="str">
        <f>IF('1Př2'!F3&lt;&gt;0,TEXT('1Př2'!F3,"DD.MM.RRRR"),"")</f>
        <v/>
      </c>
      <c r="O34" s="284" t="s">
        <v>3438</v>
      </c>
    </row>
    <row r="35" spans="1:19" ht="15" hidden="1" customHeight="1">
      <c r="A35" s="277" t="s">
        <v>398</v>
      </c>
      <c r="B35" s="338">
        <f>'DAP3'!D24</f>
        <v>0</v>
      </c>
      <c r="C35" s="284" t="s">
        <v>3438</v>
      </c>
      <c r="E35" s="277" t="s">
        <v>468</v>
      </c>
      <c r="F35" s="335" t="str">
        <f>IF('DAP1'!F39&lt;&gt;"",'DAP1'!F39,"")</f>
        <v/>
      </c>
      <c r="G35" s="1"/>
      <c r="I35" s="277" t="s">
        <v>530</v>
      </c>
      <c r="J35">
        <f>'DAP4'!K18</f>
        <v>0</v>
      </c>
      <c r="K35" t="s">
        <v>3438</v>
      </c>
      <c r="M35" s="277" t="s">
        <v>552</v>
      </c>
      <c r="N35" s="335" t="str">
        <f>IF('1Př2'!C3&lt;&gt;0,TEXT('1Př2'!C3,"DD.MM.RRRR"),"")</f>
        <v/>
      </c>
      <c r="O35" s="284" t="s">
        <v>3438</v>
      </c>
    </row>
    <row r="36" spans="1:19" ht="15" hidden="1" customHeight="1">
      <c r="A36" s="277" t="s">
        <v>399</v>
      </c>
      <c r="B36" s="339">
        <f>'DAP2'!F37</f>
        <v>0</v>
      </c>
      <c r="C36" s="284" t="s">
        <v>3438</v>
      </c>
      <c r="E36" s="277" t="s">
        <v>469</v>
      </c>
      <c r="F36" s="335" t="str">
        <f>IF(ISNUMBER(FIND("@",'DAP1'!I39)),'DAP1'!I39,"")</f>
        <v/>
      </c>
      <c r="G36" s="1"/>
      <c r="I36" s="277" t="s">
        <v>531</v>
      </c>
      <c r="J36">
        <f>'DAP4'!K14</f>
        <v>0</v>
      </c>
      <c r="K36" t="s">
        <v>3438</v>
      </c>
      <c r="M36" s="277" t="s">
        <v>553</v>
      </c>
      <c r="N36" s="335" t="str">
        <f>IF('1Př2'!E3&lt;&gt;0,TEXT('1Př2'!E3,"DD.MM.RRRR"),"")</f>
        <v/>
      </c>
      <c r="O36" s="284" t="s">
        <v>3438</v>
      </c>
    </row>
    <row r="37" spans="1:19" ht="15" hidden="1" customHeight="1">
      <c r="A37" s="277" t="s">
        <v>400</v>
      </c>
      <c r="B37" s="338">
        <f>'DAP3'!D43</f>
        <v>0</v>
      </c>
      <c r="C37" s="284" t="s">
        <v>3438</v>
      </c>
      <c r="E37" s="277" t="s">
        <v>470</v>
      </c>
      <c r="F37" s="335" t="str">
        <f>IF('DAP1'!B38&lt;&gt;"",'DAP1'!B38,"")</f>
        <v/>
      </c>
      <c r="G37" s="1"/>
      <c r="I37" s="277" t="s">
        <v>532</v>
      </c>
      <c r="J37">
        <f>'DAP4'!K15</f>
        <v>0</v>
      </c>
      <c r="K37" t="s">
        <v>3438</v>
      </c>
      <c r="M37" s="277" t="s">
        <v>554</v>
      </c>
      <c r="N37" s="335" t="str">
        <f>IF('1Př2'!A3&lt;&gt;0,TEXT('1Př2'!A3,"DD.MM.RRRR"),"")</f>
        <v/>
      </c>
      <c r="O37" s="284" t="s">
        <v>3438</v>
      </c>
    </row>
    <row r="38" spans="1:19" ht="15" hidden="1" customHeight="1">
      <c r="A38" s="277"/>
      <c r="B38" s="338" t="str">
        <f>IF(Účetní_závěrka!C12&lt;&gt;"",IF(Účetní_závěrka!C88&gt;0,"P","Z"),"")</f>
        <v/>
      </c>
      <c r="C38" s="284" t="s">
        <v>3438</v>
      </c>
      <c r="E38" s="277" t="s">
        <v>471</v>
      </c>
      <c r="F38" s="335" t="str">
        <f>IF('DAP1'!B39&lt;&gt;"",'DAP1'!B39,"")</f>
        <v/>
      </c>
      <c r="G38" s="1"/>
      <c r="I38" s="277" t="s">
        <v>533</v>
      </c>
      <c r="J38">
        <f>'DAP4'!K12</f>
        <v>0</v>
      </c>
      <c r="K38" t="s">
        <v>3438</v>
      </c>
      <c r="M38" s="277" t="s">
        <v>555</v>
      </c>
      <c r="N38" s="338">
        <f>'1Př1'!A27</f>
        <v>0</v>
      </c>
      <c r="O38" s="284" t="s">
        <v>3438</v>
      </c>
    </row>
    <row r="39" spans="1:19" ht="15" hidden="1" customHeight="1">
      <c r="A39" s="277" t="s">
        <v>402</v>
      </c>
      <c r="B39" s="338">
        <f>'DAP3'!D45</f>
        <v>0</v>
      </c>
      <c r="C39" s="284" t="s">
        <v>3438</v>
      </c>
      <c r="E39" s="277" t="s">
        <v>472</v>
      </c>
      <c r="F39" s="335" t="str">
        <f>IF('DAP1'!G38&lt;&gt;"",'DAP1'!G35,"")</f>
        <v/>
      </c>
      <c r="G39" s="1"/>
      <c r="I39" s="277" t="s">
        <v>534</v>
      </c>
      <c r="K39" s="284" t="s">
        <v>3441</v>
      </c>
      <c r="M39" s="277" t="s">
        <v>556</v>
      </c>
      <c r="N39" s="338">
        <f>'1Př1'!F14</f>
        <v>0</v>
      </c>
      <c r="O39" s="284" t="s">
        <v>3438</v>
      </c>
    </row>
    <row r="40" spans="1:19" ht="15" hidden="1" customHeight="1">
      <c r="A40" s="277" t="s">
        <v>403</v>
      </c>
      <c r="B40" s="338">
        <f>'DAP3'!D44</f>
        <v>0</v>
      </c>
      <c r="C40" s="284" t="s">
        <v>3438</v>
      </c>
      <c r="E40" s="277" t="s">
        <v>473</v>
      </c>
      <c r="F40" s="278" t="str">
        <f>IF(AND(LEN('DAP4'!A33)&gt;6,ISNUMBER(SEARCH(".",'DAP4'!A33))),'DAP4'!A33,"")</f>
        <v/>
      </c>
      <c r="G40" s="345" t="s">
        <v>3449</v>
      </c>
      <c r="I40" s="277" t="s">
        <v>535</v>
      </c>
      <c r="J40">
        <f>'DAP4'!K11</f>
        <v>0</v>
      </c>
      <c r="K40" s="284" t="s">
        <v>3438</v>
      </c>
      <c r="M40" s="277" t="s">
        <v>557</v>
      </c>
      <c r="N40" s="338">
        <f>'1Př1'!E27</f>
        <v>0</v>
      </c>
      <c r="O40" s="284" t="s">
        <v>3438</v>
      </c>
      <c r="Q40" t="s">
        <v>577</v>
      </c>
      <c r="R40" s="277" t="s">
        <v>601</v>
      </c>
      <c r="S40" s="280" t="s">
        <v>599</v>
      </c>
    </row>
    <row r="41" spans="1:19" ht="15" hidden="1" customHeight="1">
      <c r="A41" s="277" t="s">
        <v>404</v>
      </c>
      <c r="B41" s="338" t="str">
        <f>IF(AND('DAP3'!D44&lt;&gt;"",'DAP3'!D44&lt;&gt;0),'DAP3'!D44,"")</f>
        <v/>
      </c>
      <c r="C41" s="284" t="s">
        <v>3438</v>
      </c>
      <c r="E41" s="277" t="s">
        <v>474</v>
      </c>
      <c r="F41" s="278" t="str">
        <f>IF(AND(LEN('DAP4'!A33)&lt;=4,'DAP4'!A33&lt;&gt;""),'DAP4'!A33,"")</f>
        <v/>
      </c>
      <c r="G41" s="345" t="s">
        <v>3449</v>
      </c>
      <c r="I41" s="277" t="s">
        <v>536</v>
      </c>
      <c r="J41">
        <f>'DAP4'!K19</f>
        <v>0</v>
      </c>
      <c r="K41" s="284" t="s">
        <v>3438</v>
      </c>
      <c r="M41" s="277" t="s">
        <v>558</v>
      </c>
      <c r="N41" s="338">
        <f>'1Př1'!I27</f>
        <v>0</v>
      </c>
      <c r="O41" s="284" t="s">
        <v>3438</v>
      </c>
      <c r="R41" s="338" t="str">
        <f>IF('1Př2'!F20&lt;&gt;"",'1Př2'!F20,"")</f>
        <v/>
      </c>
      <c r="S41" s="278" t="str">
        <f>IF('1Př2'!B20&lt;&gt;"",'1Př2'!B20,"")</f>
        <v/>
      </c>
    </row>
    <row r="42" spans="1:19" ht="15" hidden="1" customHeight="1">
      <c r="A42" s="277" t="s">
        <v>405</v>
      </c>
      <c r="B42" s="338">
        <f>'DAP3'!E8</f>
        <v>0</v>
      </c>
      <c r="C42" s="284" t="s">
        <v>3438</v>
      </c>
      <c r="E42" s="277" t="s">
        <v>475</v>
      </c>
      <c r="F42" s="278" t="str">
        <f>IF(AND(LEN('DAP4'!A33)&lt;9,LEN('DAP4'!A33)&gt;5),'DAP4'!A33,"")</f>
        <v/>
      </c>
      <c r="G42" s="345" t="s">
        <v>3449</v>
      </c>
      <c r="I42" s="277" t="s">
        <v>537</v>
      </c>
      <c r="J42">
        <f>'DAP4'!K9</f>
        <v>0</v>
      </c>
      <c r="K42" s="284" t="s">
        <v>3438</v>
      </c>
      <c r="M42" s="277" t="s">
        <v>559</v>
      </c>
      <c r="N42" s="338">
        <f>'1Př1'!F22</f>
        <v>0</v>
      </c>
      <c r="O42" s="284" t="s">
        <v>3438</v>
      </c>
      <c r="R42" s="338" t="str">
        <f>IF('1Př2'!F21&lt;&gt;"",'1Př2'!F21,"")</f>
        <v/>
      </c>
      <c r="S42" s="278" t="str">
        <f>IF('1Př2'!B21&lt;&gt;"",'1Př2'!B21,"")</f>
        <v/>
      </c>
    </row>
    <row r="43" spans="1:19" ht="15" hidden="1" customHeight="1">
      <c r="A43" s="277" t="s">
        <v>406</v>
      </c>
      <c r="B43" s="338">
        <f>'DAP3'!D46</f>
        <v>0</v>
      </c>
      <c r="C43" s="284" t="s">
        <v>3438</v>
      </c>
      <c r="E43" s="277" t="s">
        <v>476</v>
      </c>
      <c r="F43" s="278" t="str">
        <f>IF(AND(OR(F40&lt;&gt;"",F41&lt;&gt;""),ZAKL_DATA!D20&lt;&gt;""),ZAKL_DATA!D20,"")</f>
        <v/>
      </c>
      <c r="G43" s="345" t="s">
        <v>3449</v>
      </c>
      <c r="I43" s="277" t="s">
        <v>538</v>
      </c>
      <c r="J43">
        <f>'DAP4'!K13</f>
        <v>0</v>
      </c>
      <c r="K43" s="284" t="s">
        <v>3438</v>
      </c>
      <c r="M43" s="277" t="s">
        <v>560</v>
      </c>
      <c r="N43" s="338">
        <f>'1Př1'!F17</f>
        <v>0</v>
      </c>
      <c r="O43" s="284" t="s">
        <v>3438</v>
      </c>
      <c r="R43" s="338" t="str">
        <f>IF('1Př2'!F22&lt;&gt;"",'1Př2'!F22,"")</f>
        <v/>
      </c>
      <c r="S43" s="278" t="str">
        <f>IF('1Př2'!B22&lt;&gt;"",'1Př2'!B22,"")</f>
        <v/>
      </c>
    </row>
    <row r="44" spans="1:19" ht="15" hidden="1" customHeight="1">
      <c r="A44" s="277" t="s">
        <v>407</v>
      </c>
      <c r="B44" s="338">
        <f>'DAP3'!D41</f>
        <v>0</v>
      </c>
      <c r="C44" s="284" t="s">
        <v>3438</v>
      </c>
      <c r="E44" s="277" t="s">
        <v>477</v>
      </c>
      <c r="F44" s="278" t="str">
        <f>IF('DAP4'!C29&lt;&gt;0,'DAP4'!C29,"")</f>
        <v/>
      </c>
      <c r="G44" s="345" t="s">
        <v>3449</v>
      </c>
      <c r="I44" s="277" t="s">
        <v>539</v>
      </c>
      <c r="J44">
        <f>'DAP4'!K6</f>
        <v>0</v>
      </c>
      <c r="K44" s="284" t="s">
        <v>3438</v>
      </c>
      <c r="M44" s="277" t="s">
        <v>561</v>
      </c>
      <c r="N44" s="338">
        <f>'1Př1'!F19</f>
        <v>0</v>
      </c>
      <c r="O44" s="284" t="s">
        <v>3438</v>
      </c>
      <c r="R44" s="338" t="str">
        <f>IF('1Př2'!F23&lt;&gt;"",'1Př2'!F23,"")</f>
        <v/>
      </c>
      <c r="S44" s="278" t="str">
        <f>IF('1Př2'!B23&lt;&gt;"",'1Př2'!B23,"")</f>
        <v/>
      </c>
    </row>
    <row r="45" spans="1:19" ht="15" hidden="1" customHeight="1">
      <c r="A45" s="277" t="s">
        <v>408</v>
      </c>
      <c r="B45" s="338">
        <f>'DAP3'!D40</f>
        <v>0</v>
      </c>
      <c r="C45" s="284" t="s">
        <v>3438</v>
      </c>
      <c r="E45" s="277" t="s">
        <v>478</v>
      </c>
      <c r="F45" s="278" t="str">
        <f>'DAP4'!A31</f>
        <v xml:space="preserve">  </v>
      </c>
      <c r="G45" s="345" t="s">
        <v>3449</v>
      </c>
      <c r="I45" s="277" t="s">
        <v>540</v>
      </c>
      <c r="J45">
        <f>'DAP4'!K8</f>
        <v>0</v>
      </c>
      <c r="K45" s="284" t="s">
        <v>3438</v>
      </c>
      <c r="M45" s="277" t="s">
        <v>562</v>
      </c>
      <c r="N45" s="338">
        <f>'1Př1'!F11</f>
        <v>0</v>
      </c>
      <c r="O45" s="284" t="s">
        <v>3438</v>
      </c>
    </row>
    <row r="46" spans="1:19" ht="15" hidden="1" customHeight="1">
      <c r="A46" s="277" t="s">
        <v>409</v>
      </c>
      <c r="B46" s="338">
        <f>'DAP3'!D48</f>
        <v>0</v>
      </c>
      <c r="C46" s="284" t="s">
        <v>3438</v>
      </c>
      <c r="E46" s="277" t="s">
        <v>479</v>
      </c>
      <c r="F46" s="278" t="str">
        <f>IF(AND(OR(F40&lt;&gt;"",F41&lt;&gt;""),ZAKL_DATA!D21&lt;&gt;""),ZAKL_DATA!D21,"")</f>
        <v/>
      </c>
      <c r="G46" s="345" t="s">
        <v>3449</v>
      </c>
      <c r="I46" s="277" t="s">
        <v>541</v>
      </c>
      <c r="J46" t="str">
        <f>IF((ABS('6Př'!E20)+ABS('6Př'!F20))&lt;&gt;0,"1","0")</f>
        <v>0</v>
      </c>
      <c r="K46" s="1"/>
      <c r="M46" s="277" t="s">
        <v>563</v>
      </c>
      <c r="N46" s="338">
        <f>'1Př1'!F16</f>
        <v>0</v>
      </c>
      <c r="O46" s="284" t="s">
        <v>3438</v>
      </c>
      <c r="R46" s="284" t="s">
        <v>3438</v>
      </c>
      <c r="S46" s="284" t="s">
        <v>3438</v>
      </c>
    </row>
    <row r="47" spans="1:19" ht="15" hidden="1" customHeight="1">
      <c r="A47" s="277" t="s">
        <v>410</v>
      </c>
      <c r="B47" s="338" t="str">
        <f>IF(AND('DAP3'!D34&lt;&gt;"",'DAP3'!D34&lt;&gt;0),'DAP3'!D34,"")</f>
        <v/>
      </c>
      <c r="C47" s="284" t="s">
        <v>3438</v>
      </c>
      <c r="E47" s="277" t="s">
        <v>480</v>
      </c>
      <c r="F47" s="278" t="str">
        <f>IF(OR('DAP4'!C29="4a",'DAP4'!C29="4b"), "F",IF(OR('DAP4'!C29="4c",'DAP4'!C29="4d"),"P",""))</f>
        <v/>
      </c>
      <c r="G47" s="345" t="s">
        <v>3449</v>
      </c>
      <c r="I47" s="277" t="s">
        <v>542</v>
      </c>
      <c r="J47">
        <f>IF('DAP4'!K25&lt;&gt;"",'DAP4'!K25,"")</f>
        <v>0</v>
      </c>
      <c r="K47" s="1"/>
      <c r="M47" s="277" t="s">
        <v>564</v>
      </c>
      <c r="N47" s="338">
        <f>'1Př1'!F15</f>
        <v>0</v>
      </c>
      <c r="O47" s="284" t="s">
        <v>3438</v>
      </c>
    </row>
    <row r="48" spans="1:19" ht="15" hidden="1" customHeight="1">
      <c r="A48" s="277" t="s">
        <v>411</v>
      </c>
      <c r="B48" s="338" t="str">
        <f>IF(AND('DAP3'!D37&lt;&gt;"",'DAP3'!D37&lt;&gt;0),'DAP3'!D37,"")</f>
        <v/>
      </c>
      <c r="C48" s="284" t="s">
        <v>3438</v>
      </c>
      <c r="I48" s="277" t="s">
        <v>543</v>
      </c>
      <c r="J48" s="335">
        <f>'DAP4'!K4</f>
        <v>0</v>
      </c>
      <c r="K48" s="284" t="s">
        <v>3438</v>
      </c>
      <c r="M48" s="277" t="s">
        <v>565</v>
      </c>
      <c r="N48" s="338">
        <f>'1Př1'!F12</f>
        <v>0</v>
      </c>
      <c r="O48" s="284" t="s">
        <v>3438</v>
      </c>
    </row>
    <row r="49" spans="1:22" ht="15" hidden="1" customHeight="1">
      <c r="A49" s="277" t="s">
        <v>412</v>
      </c>
      <c r="B49" s="335" t="str">
        <f>IF('DAP1'!F41&lt;&gt;"",'DAP1'!F41,"")</f>
        <v/>
      </c>
      <c r="C49" s="284" t="s">
        <v>3438</v>
      </c>
      <c r="I49" s="277" t="s">
        <v>544</v>
      </c>
      <c r="J49" s="335">
        <f>'DAP4'!K5</f>
        <v>0</v>
      </c>
      <c r="K49" s="284" t="s">
        <v>3438</v>
      </c>
      <c r="M49" s="277" t="s">
        <v>566</v>
      </c>
      <c r="N49" s="338">
        <f>'1Př1'!F18</f>
        <v>0</v>
      </c>
      <c r="O49" s="284" t="s">
        <v>3438</v>
      </c>
    </row>
    <row r="50" spans="1:22" ht="15" hidden="1" customHeight="1">
      <c r="A50" s="277" t="s">
        <v>413</v>
      </c>
      <c r="B50">
        <f>'DAP3'!D5</f>
        <v>0</v>
      </c>
      <c r="C50" s="284" t="s">
        <v>3438</v>
      </c>
      <c r="E50" s="277" t="s">
        <v>3714</v>
      </c>
      <c r="F50" s="278" t="str">
        <f>IF(Účetní_závěrka!C12&lt;&gt;"",IF(Účetní_závěrka!C88&gt;0,"P","Z"),"")</f>
        <v/>
      </c>
      <c r="I50" s="277" t="s">
        <v>545</v>
      </c>
      <c r="J50">
        <f>'DAP4'!K21</f>
        <v>0</v>
      </c>
      <c r="K50" s="284" t="s">
        <v>3438</v>
      </c>
      <c r="M50" s="277" t="s">
        <v>567</v>
      </c>
      <c r="N50" s="338">
        <f>'1Př1'!F20</f>
        <v>0</v>
      </c>
      <c r="O50" s="284" t="s">
        <v>3438</v>
      </c>
      <c r="Q50" t="s">
        <v>603</v>
      </c>
      <c r="R50" s="277" t="s">
        <v>604</v>
      </c>
      <c r="S50" s="280" t="s">
        <v>602</v>
      </c>
    </row>
    <row r="51" spans="1:22" ht="15" hidden="1" customHeight="1">
      <c r="A51" s="277" t="s">
        <v>3580</v>
      </c>
      <c r="B51">
        <f>'DAP3'!F21</f>
        <v>0</v>
      </c>
      <c r="C51" s="284" t="s">
        <v>3438</v>
      </c>
      <c r="E51" s="277" t="s">
        <v>3714</v>
      </c>
      <c r="F51" s="278" t="str">
        <f>IF(Účetní_závěrka!C12&lt;&gt;"",IF(Účetní_závěrka!C88&gt;0,"P","Z"),"")</f>
        <v/>
      </c>
      <c r="I51" s="277" t="s">
        <v>546</v>
      </c>
      <c r="J51">
        <f>'DAP4'!K20</f>
        <v>0</v>
      </c>
      <c r="K51" s="284" t="s">
        <v>3438</v>
      </c>
      <c r="M51" s="277" t="s">
        <v>568</v>
      </c>
      <c r="N51" s="338">
        <f>'1Př1'!F23</f>
        <v>0</v>
      </c>
      <c r="O51" s="284" t="s">
        <v>3438</v>
      </c>
      <c r="R51" t="str">
        <f>IF('1Př2'!F26&lt;&gt;"",'1Př2'!F26,"")</f>
        <v/>
      </c>
      <c r="S51" s="335" t="str">
        <f>IF('1Př2'!B26&lt;&gt;"",'1Př2'!B26,"")</f>
        <v/>
      </c>
    </row>
    <row r="52" spans="1:22" ht="15" hidden="1" customHeight="1">
      <c r="A52" s="277" t="s">
        <v>3581</v>
      </c>
      <c r="B52">
        <f>'DAP3'!G21</f>
        <v>0</v>
      </c>
      <c r="C52" s="284" t="s">
        <v>3438</v>
      </c>
      <c r="E52" s="277" t="s">
        <v>3714</v>
      </c>
      <c r="F52" s="278" t="str">
        <f>IF(Účetní_závěrka!C12&lt;&gt;"",IF(Účetní_závěrka!C88&gt;0,"P","Z"),"")</f>
        <v/>
      </c>
      <c r="I52" s="277" t="s">
        <v>3590</v>
      </c>
      <c r="J52" t="str">
        <f>IF('DAP4'!K16&lt;&gt;"",'DAP4'!K16,"")</f>
        <v/>
      </c>
      <c r="K52" s="357"/>
      <c r="M52" s="277" t="s">
        <v>569</v>
      </c>
      <c r="N52" s="338" t="e">
        <f>'1Př1'!#REF!</f>
        <v>#REF!</v>
      </c>
      <c r="O52" s="284" t="s">
        <v>3438</v>
      </c>
      <c r="R52" t="str">
        <f>IF('1Př2'!F27&lt;&gt;"",'1Př2'!F27,"")</f>
        <v/>
      </c>
      <c r="S52" s="278" t="str">
        <f>IF('1Př2'!B27&lt;&gt;"",'1Př2'!B27,"")</f>
        <v/>
      </c>
    </row>
    <row r="53" spans="1:22" ht="15" hidden="1" customHeight="1">
      <c r="A53" s="277" t="s">
        <v>414</v>
      </c>
      <c r="B53">
        <f>'DAP3'!D6</f>
        <v>0</v>
      </c>
      <c r="C53" s="284" t="s">
        <v>3438</v>
      </c>
      <c r="I53" s="277" t="s">
        <v>3986</v>
      </c>
      <c r="J53">
        <f>'DAP4'!K23</f>
        <v>0</v>
      </c>
      <c r="K53" s="284" t="s">
        <v>3438</v>
      </c>
      <c r="M53" s="277" t="s">
        <v>570</v>
      </c>
      <c r="N53">
        <f>'1Př2'!G3</f>
        <v>12</v>
      </c>
      <c r="O53" s="284" t="s">
        <v>3438</v>
      </c>
      <c r="R53" t="str">
        <f>IF('1Př2'!F28&lt;&gt;"",'1Př2'!F28,"")</f>
        <v/>
      </c>
      <c r="S53" s="278" t="str">
        <f>IF('1Př2'!B28&lt;&gt;"",'1Př2'!B28,"")</f>
        <v/>
      </c>
    </row>
    <row r="54" spans="1:22" ht="15" hidden="1" customHeight="1">
      <c r="A54" s="277" t="s">
        <v>415</v>
      </c>
      <c r="B54">
        <f>'DAP3'!D4</f>
        <v>0</v>
      </c>
      <c r="C54" s="284" t="s">
        <v>3438</v>
      </c>
      <c r="I54" s="277" t="s">
        <v>3987</v>
      </c>
      <c r="J54">
        <f>'DAP4'!K7</f>
        <v>0</v>
      </c>
      <c r="K54" s="284" t="s">
        <v>3438</v>
      </c>
      <c r="M54" s="277" t="s">
        <v>571</v>
      </c>
      <c r="N54" s="338">
        <f>'1Př1'!F30</f>
        <v>0</v>
      </c>
      <c r="O54" s="284" t="s">
        <v>3438</v>
      </c>
      <c r="R54" t="str">
        <f>IF('1Př2'!F29&lt;&gt;"",'1Př2'!F29,"")</f>
        <v/>
      </c>
      <c r="S54" s="278" t="str">
        <f>IF('1Př2'!B29&lt;&gt;"",'1Př2'!B29,"")</f>
        <v/>
      </c>
    </row>
    <row r="55" spans="1:22" ht="15" hidden="1" customHeight="1">
      <c r="A55" s="277" t="s">
        <v>416</v>
      </c>
      <c r="B55">
        <f>'DAP3'!D8</f>
        <v>0</v>
      </c>
      <c r="C55" s="284" t="s">
        <v>3438</v>
      </c>
      <c r="I55" s="277"/>
      <c r="M55" s="277" t="s">
        <v>572</v>
      </c>
      <c r="N55" s="343" t="str">
        <f>IF(AND('1Př1'!E30*100&lt;&gt;0,'1Př1'!E30&lt;&gt;""),'1Př1'!E30*100,"")</f>
        <v/>
      </c>
      <c r="O55" s="284" t="s">
        <v>3438</v>
      </c>
    </row>
    <row r="56" spans="1:22" ht="15" hidden="1" customHeight="1">
      <c r="A56" s="277" t="s">
        <v>417</v>
      </c>
      <c r="B56">
        <f>'DAP3'!D3</f>
        <v>0</v>
      </c>
      <c r="C56" s="284" t="s">
        <v>3438</v>
      </c>
      <c r="M56" s="277" t="s">
        <v>573</v>
      </c>
      <c r="N56" s="338">
        <f>'1Př1'!H30</f>
        <v>0</v>
      </c>
      <c r="O56" s="284" t="s">
        <v>3438</v>
      </c>
      <c r="R56" s="284" t="s">
        <v>3438</v>
      </c>
      <c r="S56" s="284" t="s">
        <v>3438</v>
      </c>
    </row>
    <row r="57" spans="1:22" ht="15" hidden="1" customHeight="1">
      <c r="A57" s="277" t="s">
        <v>418</v>
      </c>
      <c r="B57">
        <f>'DAP3'!D7</f>
        <v>0</v>
      </c>
      <c r="C57" s="284" t="s">
        <v>3438</v>
      </c>
      <c r="M57" s="277" t="s">
        <v>574</v>
      </c>
      <c r="N57" s="335">
        <f>IF(AND('1Př1'!C8&lt;&gt;"",'1Př1'!G8=""),1,IF(AND('1Př1'!C8="",'1Př1'!G8&lt;&gt;""),2,""))</f>
        <v>2</v>
      </c>
      <c r="O57" s="284" t="s">
        <v>3438</v>
      </c>
    </row>
    <row r="58" spans="1:22" ht="15" hidden="1" customHeight="1">
      <c r="A58" s="277" t="s">
        <v>419</v>
      </c>
      <c r="B58" s="336" t="str">
        <f>IF(ISNUMBER(FIND(" ",'DAP2'!C44)),MID('DAP2'!C44,(FIND(" ",'DAP2'!C44,1))+1,IF(ISNUMBER(FIND(" ",'DAP2'!C44,FIND(" ",'DAP2'!C44,1)+1)),FIND(" ",'DAP2'!C44,LEN(LEFT('DAP2'!C44,(FIND(" ",'DAP2'!C44,1))))+1)-LEN(LEFT('DAP2'!C44,(FIND(" ",'DAP2'!C44,1)))),LEN('DAP2'!C44)-LEN(LEFT('DAP2'!C44,(FIND(" ",'DAP2'!C44,1)))))),"")</f>
        <v/>
      </c>
      <c r="C58" s="284" t="s">
        <v>3438</v>
      </c>
      <c r="M58" s="277" t="s">
        <v>575</v>
      </c>
      <c r="N58" s="335" t="str">
        <f>IF('1Př1'!K8&lt;&gt;"","A","N")</f>
        <v>N</v>
      </c>
    </row>
    <row r="59" spans="1:22" ht="15" hidden="1" customHeight="1">
      <c r="A59" s="277" t="s">
        <v>420</v>
      </c>
      <c r="B59" s="336" t="str">
        <f>IF(ISNUMBER(FIND(" ",'DAP2'!C44)),LEFT('DAP2'!C44,(FIND(" ",'DAP2'!C44,1))-1),"")</f>
        <v/>
      </c>
      <c r="C59" s="284" t="s">
        <v>3438</v>
      </c>
      <c r="M59" s="277" t="s">
        <v>3756</v>
      </c>
      <c r="N59" s="278" t="e">
        <f>IF('1Př1'!#REF!&lt;&gt;"","A","N")</f>
        <v>#REF!</v>
      </c>
    </row>
    <row r="60" spans="1:22" ht="15" hidden="1" customHeight="1">
      <c r="A60" s="277" t="s">
        <v>421</v>
      </c>
      <c r="B60" s="336" t="str">
        <f>IF('DAP2'!H44&lt;&gt;"",'DAP2'!H44,"")</f>
        <v/>
      </c>
      <c r="C60" s="284" t="s">
        <v>3438</v>
      </c>
      <c r="E60" t="s">
        <v>581</v>
      </c>
      <c r="I60" t="s">
        <v>618</v>
      </c>
      <c r="N60" t="str">
        <f>IF(OR(N57="2",N58="A"),"A","N")</f>
        <v>N</v>
      </c>
      <c r="Q60" t="s">
        <v>606</v>
      </c>
      <c r="R60" s="277" t="s">
        <v>605</v>
      </c>
      <c r="S60" s="280" t="s">
        <v>607</v>
      </c>
      <c r="T60" s="280" t="s">
        <v>608</v>
      </c>
      <c r="U60" s="280" t="s">
        <v>609</v>
      </c>
      <c r="V60" s="280" t="s">
        <v>610</v>
      </c>
    </row>
    <row r="61" spans="1:22" ht="15" hidden="1" customHeight="1">
      <c r="A61" s="277" t="s">
        <v>422</v>
      </c>
      <c r="B61" s="336" t="str">
        <f>IF(ISNUMBER(FIND(" ",'DAP2'!C44,FIND(" ",'DAP2'!C44,1)+1)),MID('DAP2'!C44,FIND(" ",'DAP2'!C44,LEN(LEFT('DAP2'!C44,(FIND(" ",'DAP2'!C44,1))))+1)+1,LEN('DAP2'!C44)-LEN(LEFT('DAP2'!C44,(FIND(" ",'DAP2'!C44,1))))+1),"")</f>
        <v/>
      </c>
      <c r="C61" s="284" t="s">
        <v>3438</v>
      </c>
      <c r="E61" s="277" t="s">
        <v>582</v>
      </c>
      <c r="F61" s="338" t="str">
        <f>IF(OR(N57=2,N58="A"),"",'1Př2'!F7)</f>
        <v/>
      </c>
      <c r="G61" t="s">
        <v>3438</v>
      </c>
      <c r="I61" s="277" t="s">
        <v>625</v>
      </c>
      <c r="J61" s="338">
        <f>'2Př'!G11</f>
        <v>0</v>
      </c>
      <c r="K61" s="284" t="s">
        <v>3438</v>
      </c>
      <c r="R61" s="335" t="str">
        <f>IF('1Př2'!E33&lt;&gt;"",MID('1Př2'!E33,3,LEN('1Př2'!E33)-2),"")</f>
        <v/>
      </c>
      <c r="S61" s="335" t="str">
        <f>IF('1Př2'!B33&lt;&gt;"",'1Př2'!B33,"")</f>
        <v/>
      </c>
      <c r="T61" t="str">
        <f>IF('1Př2'!F33&lt;&gt;"",'1Př2'!F33*100,"")</f>
        <v/>
      </c>
      <c r="U61" t="str">
        <f>IF('1Př2'!G33&lt;&gt;"",'1Př2'!G33*100,"")</f>
        <v/>
      </c>
      <c r="V61" s="335" t="str">
        <f>IF('1Př2'!C33&lt;&gt;"",'1Př2'!C33,"")</f>
        <v/>
      </c>
    </row>
    <row r="62" spans="1:22" ht="15" hidden="1" customHeight="1">
      <c r="A62" s="277" t="s">
        <v>423</v>
      </c>
      <c r="B62" s="335" t="str">
        <f>IF(AND('DAP1'!J17&lt;&gt;"",'DAP1'!L17=""),"A",IF(AND('DAP1'!J17="",'DAP1'!L17&lt;&gt;""),"N",""))</f>
        <v>N</v>
      </c>
      <c r="C62" s="284" t="s">
        <v>3438</v>
      </c>
      <c r="E62" s="277" t="s">
        <v>583</v>
      </c>
      <c r="F62" s="338" t="str">
        <f>IF(OR(N57=2,N58="A"),"",'1Př2'!F10)</f>
        <v/>
      </c>
      <c r="G62" t="s">
        <v>3438</v>
      </c>
      <c r="I62" s="277" t="s">
        <v>626</v>
      </c>
      <c r="J62" s="338">
        <f>'2Př'!G33</f>
        <v>0</v>
      </c>
      <c r="K62" s="284" t="s">
        <v>3438</v>
      </c>
      <c r="R62" s="278" t="str">
        <f>IF('1Př2'!E34&lt;&gt;"",MID('1Př2'!E34,3,LEN('1Př2'!E34)-2),"")</f>
        <v/>
      </c>
      <c r="S62" s="278" t="str">
        <f>IF('1Př2'!B34&lt;&gt;"",'1Př2'!B34,"")</f>
        <v/>
      </c>
      <c r="T62" t="str">
        <f>IF('1Př2'!F34&lt;&gt;"",'1Př2'!F34*100,"")</f>
        <v/>
      </c>
      <c r="U62" t="str">
        <f>IF('1Př2'!G34&lt;&gt;"",'1Př2'!G34*100,"")</f>
        <v/>
      </c>
      <c r="V62" s="278" t="str">
        <f>IF('1Př2'!C34&lt;&gt;"",'1Př2'!C34,"")</f>
        <v/>
      </c>
    </row>
    <row r="63" spans="1:22" ht="15" hidden="1" customHeight="1">
      <c r="A63" s="277" t="s">
        <v>424</v>
      </c>
      <c r="B63" s="335" t="str">
        <f>IF(AND('DAP1'!F43&lt;&gt;"",'DAP1'!H43=""),"A",IF(AND('DAP1'!F43="",'DAP1'!H43&lt;&gt;""),"N",""))</f>
        <v>N</v>
      </c>
      <c r="C63" s="284" t="s">
        <v>3438</v>
      </c>
      <c r="E63" s="277" t="s">
        <v>584</v>
      </c>
      <c r="F63" s="338" t="str">
        <f>IF(OR(N57=2,N58="A"),"",'1Př2'!F11)</f>
        <v/>
      </c>
      <c r="G63" t="s">
        <v>3438</v>
      </c>
      <c r="I63" s="277" t="s">
        <v>627</v>
      </c>
      <c r="J63" s="338">
        <f>'2Př'!G10</f>
        <v>0</v>
      </c>
      <c r="K63" s="284" t="s">
        <v>3438</v>
      </c>
      <c r="R63" s="278" t="str">
        <f>IF('1Př2'!E35&lt;&gt;"",MID('1Př2'!E35,3,LEN('1Př2'!E35)-2),"")</f>
        <v/>
      </c>
      <c r="S63" s="278" t="str">
        <f>IF('1Př2'!B35&lt;&gt;"",'1Př2'!B35,"")</f>
        <v/>
      </c>
      <c r="T63" t="str">
        <f>IF('1Př2'!F35&lt;&gt;"",'1Př2'!F35*100,"")</f>
        <v/>
      </c>
      <c r="U63" t="str">
        <f>IF('1Př2'!G35&lt;&gt;"",'1Př2'!G35*100,"")</f>
        <v/>
      </c>
      <c r="V63" s="278" t="str">
        <f>IF('1Př2'!C35&lt;&gt;"",'1Př2'!C35,"")</f>
        <v/>
      </c>
    </row>
    <row r="64" spans="1:22" ht="15" hidden="1" customHeight="1">
      <c r="A64" s="277" t="s">
        <v>425</v>
      </c>
      <c r="B64">
        <f>'DAP1'!F24</f>
        <v>2021</v>
      </c>
      <c r="C64" s="284" t="s">
        <v>3438</v>
      </c>
      <c r="E64" s="277" t="s">
        <v>585</v>
      </c>
      <c r="F64" s="338" t="str">
        <f>IF(OR(N57=2,N58="A"),"",'1Př2'!F8)</f>
        <v/>
      </c>
      <c r="G64" t="s">
        <v>3438</v>
      </c>
      <c r="I64" s="277" t="s">
        <v>628</v>
      </c>
      <c r="J64" s="338">
        <f>'2Př'!H18</f>
        <v>0</v>
      </c>
      <c r="K64" s="284" t="s">
        <v>3438</v>
      </c>
    </row>
    <row r="65" spans="1:22" ht="15" hidden="1" customHeight="1">
      <c r="A65" s="277" t="s">
        <v>426</v>
      </c>
      <c r="B65" s="338">
        <f>'DAP2'!F42</f>
        <v>0</v>
      </c>
      <c r="C65" s="284" t="s">
        <v>3438</v>
      </c>
      <c r="E65" s="277" t="s">
        <v>586</v>
      </c>
      <c r="F65" s="338" t="str">
        <f>IF(OR(N57=2,N58="A"),"",'1Př2'!F9)</f>
        <v/>
      </c>
      <c r="G65" t="s">
        <v>3438</v>
      </c>
      <c r="I65" s="277" t="s">
        <v>629</v>
      </c>
      <c r="J65" s="338">
        <f>'2Př'!C18</f>
        <v>0</v>
      </c>
      <c r="K65" s="284" t="s">
        <v>3438</v>
      </c>
      <c r="R65" s="284" t="s">
        <v>3438</v>
      </c>
      <c r="S65" s="284" t="s">
        <v>3438</v>
      </c>
      <c r="T65" s="284" t="s">
        <v>3438</v>
      </c>
      <c r="U65" s="284" t="s">
        <v>3438</v>
      </c>
      <c r="V65" s="284" t="s">
        <v>3438</v>
      </c>
    </row>
    <row r="66" spans="1:22" ht="15" hidden="1" customHeight="1">
      <c r="A66" s="277" t="s">
        <v>427</v>
      </c>
      <c r="B66" s="278"/>
      <c r="C66" s="284" t="s">
        <v>3441</v>
      </c>
      <c r="E66" s="277" t="s">
        <v>587</v>
      </c>
      <c r="F66" s="338" t="str">
        <f>IF(OR(N57=2,N58="A"),"",'1Př2'!F12)</f>
        <v/>
      </c>
      <c r="G66" t="s">
        <v>3438</v>
      </c>
      <c r="I66" s="277" t="s">
        <v>630</v>
      </c>
      <c r="J66" s="338">
        <f>'2Př'!G13</f>
        <v>0</v>
      </c>
      <c r="K66" s="284" t="s">
        <v>3438</v>
      </c>
    </row>
    <row r="67" spans="1:22" ht="15" hidden="1" customHeight="1">
      <c r="A67" s="277" t="s">
        <v>428</v>
      </c>
      <c r="B67" s="338">
        <f>'DAP3'!E11</f>
        <v>27840</v>
      </c>
      <c r="E67" s="277" t="s">
        <v>588</v>
      </c>
      <c r="F67" s="338" t="str">
        <f>IF(OR(N57=2,N58="A"),"",'1Př2'!F13)</f>
        <v/>
      </c>
      <c r="G67" s="1" t="s">
        <v>3438</v>
      </c>
      <c r="I67" s="277" t="s">
        <v>631</v>
      </c>
      <c r="J67" s="338">
        <f>'2Př'!G15</f>
        <v>0</v>
      </c>
      <c r="K67" s="284" t="s">
        <v>3438</v>
      </c>
    </row>
    <row r="68" spans="1:22" ht="15" hidden="1" customHeight="1">
      <c r="A68" s="277" t="s">
        <v>429</v>
      </c>
      <c r="B68" s="335" t="str">
        <f>IF(CONCATENATE('DAP1'!J28,'DAP1'!B28)&lt;&gt;"00",CONCATENATE('DAP1'!J28," ",'DAP1'!B28),"")</f>
        <v/>
      </c>
      <c r="C68" s="344" t="s">
        <v>3438</v>
      </c>
      <c r="E68" s="277" t="s">
        <v>589</v>
      </c>
      <c r="F68" s="338" t="str">
        <f>IF(OR(N57=2,N58="A"),"",'1Př2'!F14)</f>
        <v/>
      </c>
      <c r="G68" s="1" t="s">
        <v>3438</v>
      </c>
      <c r="I68" s="277" t="s">
        <v>632</v>
      </c>
      <c r="J68" s="338">
        <f>'2Př'!G34</f>
        <v>0</v>
      </c>
      <c r="K68" s="284" t="s">
        <v>3438</v>
      </c>
    </row>
    <row r="69" spans="1:22" ht="15" hidden="1" customHeight="1">
      <c r="A69" s="277" t="s">
        <v>430</v>
      </c>
      <c r="B69" s="278" t="str">
        <f>IF(Účetní_závěrka!C12&lt;&gt;"",IF(Účetní_závěrka!C88&gt;0,"P","Z"),"")</f>
        <v/>
      </c>
      <c r="C69" s="344" t="s">
        <v>3446</v>
      </c>
      <c r="E69" s="277" t="s">
        <v>590</v>
      </c>
      <c r="F69" s="338" t="str">
        <f>IF(OR(N57=2,N58="A"),"",'1Př2'!C16)</f>
        <v/>
      </c>
      <c r="G69" s="1" t="s">
        <v>3438</v>
      </c>
      <c r="I69" s="277" t="s">
        <v>633</v>
      </c>
      <c r="J69" s="338">
        <f>'2Př'!G12</f>
        <v>0</v>
      </c>
      <c r="K69" s="284" t="s">
        <v>3438</v>
      </c>
    </row>
    <row r="70" spans="1:22" ht="15" hidden="1" customHeight="1">
      <c r="A70" s="277" t="s">
        <v>431</v>
      </c>
      <c r="B70">
        <v>500</v>
      </c>
      <c r="C70" s="344" t="s">
        <v>3439</v>
      </c>
      <c r="E70" s="277" t="s">
        <v>591</v>
      </c>
      <c r="F70" s="338" t="str">
        <f>IF(OR(N57=2,N58="A"),"",'1Př2'!G7)</f>
        <v/>
      </c>
      <c r="G70" s="1" t="s">
        <v>3438</v>
      </c>
      <c r="I70" s="277" t="s">
        <v>634</v>
      </c>
      <c r="J70" s="338">
        <f>'2Př'!G35</f>
        <v>0</v>
      </c>
      <c r="K70" s="284" t="s">
        <v>3438</v>
      </c>
      <c r="M70" t="s">
        <v>643</v>
      </c>
      <c r="Q70" t="s">
        <v>611</v>
      </c>
      <c r="R70" s="277" t="s">
        <v>612</v>
      </c>
      <c r="S70" s="280" t="s">
        <v>613</v>
      </c>
      <c r="T70" s="280" t="s">
        <v>614</v>
      </c>
      <c r="U70" s="280" t="s">
        <v>615</v>
      </c>
    </row>
    <row r="71" spans="1:22" ht="15" hidden="1" customHeight="1">
      <c r="A71" s="277" t="s">
        <v>432</v>
      </c>
      <c r="B71" s="335" t="str">
        <f>CONCATENATE("31.12.",'DAP1'!F24)</f>
        <v>31.12.2021</v>
      </c>
      <c r="E71" s="277" t="s">
        <v>592</v>
      </c>
      <c r="F71" s="338" t="str">
        <f>IF(OR(N57=2,N58="A"),"",'1Př2'!G10)</f>
        <v/>
      </c>
      <c r="G71" s="1" t="s">
        <v>3438</v>
      </c>
      <c r="I71" s="277" t="s">
        <v>635</v>
      </c>
      <c r="J71" s="338">
        <f>'2Př'!G16</f>
        <v>0</v>
      </c>
      <c r="K71" s="284" t="s">
        <v>3438</v>
      </c>
      <c r="M71" s="277" t="s">
        <v>651</v>
      </c>
      <c r="N71" s="339">
        <f>'3Př'!F30</f>
        <v>0</v>
      </c>
      <c r="O71" s="284" t="s">
        <v>3438</v>
      </c>
      <c r="R71" s="335" t="str">
        <f>IF('1Př2'!F39&lt;&gt;"",IF(OR(ISNUMBER('1Př2'!F39),ISNUMBER(FIND("/",('1Př2'!F39)))),'1Př2'!F39,MID('1Př2'!F39,3,(LEN('1Př2'!F39)-2))),"")</f>
        <v/>
      </c>
      <c r="S71" s="335" t="str">
        <f>IF('1Př2'!B39&lt;&gt;"",'1Př2'!B39,"")</f>
        <v/>
      </c>
      <c r="T71" t="str">
        <f>IF('1Př2'!G39&lt;&gt;"",('1Př2'!G39)*100,"")</f>
        <v/>
      </c>
      <c r="U71" s="335" t="str">
        <f>IF('1Př2'!D39&lt;&gt;"",'1Př2'!D39,"")</f>
        <v/>
      </c>
    </row>
    <row r="72" spans="1:22" ht="15" hidden="1" customHeight="1">
      <c r="A72" s="277" t="s">
        <v>433</v>
      </c>
      <c r="B72" s="335" t="str">
        <f>CONCATENATE("01.01.",'DAP1'!F24)</f>
        <v>01.01.2021</v>
      </c>
      <c r="E72" s="277" t="s">
        <v>593</v>
      </c>
      <c r="F72" s="338" t="str">
        <f>IF(OR(N57=2,N58="A"),"",'1Př2'!G11)</f>
        <v/>
      </c>
      <c r="G72" s="1" t="s">
        <v>3438</v>
      </c>
      <c r="I72" s="277" t="s">
        <v>636</v>
      </c>
      <c r="J72" s="338">
        <f>'2Př'!G14</f>
        <v>0</v>
      </c>
      <c r="K72" s="284" t="s">
        <v>3438</v>
      </c>
      <c r="M72" s="277" t="s">
        <v>652</v>
      </c>
      <c r="N72" s="339">
        <f>'3Př'!F28</f>
        <v>0</v>
      </c>
      <c r="O72" s="284" t="s">
        <v>3438</v>
      </c>
      <c r="R72" s="278" t="str">
        <f>IF('1Př2'!F40&lt;&gt;"",IF(OR(ISNUMBER('1Př2'!F40),ISNUMBER(FIND("/",('1Př2'!F40)))),'1Př2'!F40,MID('1Př2'!F40,3,(LEN('1Př2'!F40)-2))),"")</f>
        <v/>
      </c>
      <c r="S72" s="278" t="str">
        <f>IF('1Př2'!B40&lt;&gt;"",'1Př2'!B40,"")</f>
        <v/>
      </c>
      <c r="T72" t="str">
        <f>IF('1Př2'!G40&lt;&gt;"",('1Př2'!G40)*100,"")</f>
        <v/>
      </c>
      <c r="U72" s="278" t="str">
        <f>IF('1Př2'!D40&lt;&gt;"",'1Př2'!D40,"")</f>
        <v/>
      </c>
    </row>
    <row r="73" spans="1:22" ht="15" hidden="1" customHeight="1">
      <c r="A73" s="277" t="s">
        <v>3578</v>
      </c>
      <c r="B73">
        <f>'DAP3'!H21</f>
        <v>0</v>
      </c>
      <c r="E73" s="277" t="s">
        <v>594</v>
      </c>
      <c r="F73" s="338" t="str">
        <f>IF(OR(N57=2,N58="A"),"",'1Př2'!G8)</f>
        <v/>
      </c>
      <c r="G73" s="1" t="s">
        <v>3438</v>
      </c>
      <c r="I73" s="277" t="s">
        <v>637</v>
      </c>
      <c r="J73" s="335" t="str">
        <f>IF('2Př'!J7&lt;&gt;"","A","N")</f>
        <v>N</v>
      </c>
      <c r="K73" s="284" t="s">
        <v>3438</v>
      </c>
      <c r="M73" s="277" t="s">
        <v>653</v>
      </c>
      <c r="N73" s="339">
        <f>'3Př'!F27</f>
        <v>0</v>
      </c>
      <c r="O73" s="284" t="s">
        <v>3438</v>
      </c>
    </row>
    <row r="74" spans="1:22" ht="15" hidden="1" customHeight="1">
      <c r="A74" s="277" t="s">
        <v>3579</v>
      </c>
      <c r="B74">
        <f>'DAP3'!J21</f>
        <v>0</v>
      </c>
      <c r="E74" s="277" t="s">
        <v>595</v>
      </c>
      <c r="F74" s="338" t="str">
        <f>IF(OR(N57=2,N58="A"),"",'1Př2'!G9)</f>
        <v/>
      </c>
      <c r="G74" s="1" t="s">
        <v>3438</v>
      </c>
      <c r="I74" s="277" t="s">
        <v>638</v>
      </c>
      <c r="J74" s="338">
        <f>'2Př'!G33</f>
        <v>0</v>
      </c>
      <c r="K74" s="284" t="s">
        <v>3438</v>
      </c>
      <c r="M74" s="277" t="s">
        <v>491</v>
      </c>
      <c r="N74" s="338">
        <f>'DAP2'!E15</f>
        <v>0</v>
      </c>
      <c r="R74" s="284" t="s">
        <v>3438</v>
      </c>
      <c r="S74" s="284" t="s">
        <v>3438</v>
      </c>
      <c r="T74" s="284" t="s">
        <v>3438</v>
      </c>
      <c r="U74" s="284" t="s">
        <v>3438</v>
      </c>
    </row>
    <row r="75" spans="1:22" ht="15" hidden="1" customHeight="1">
      <c r="A75" t="s">
        <v>3582</v>
      </c>
      <c r="B75">
        <f>'DAP3'!I21</f>
        <v>0</v>
      </c>
      <c r="E75" s="277" t="s">
        <v>596</v>
      </c>
      <c r="F75" s="338" t="str">
        <f>IF(OR(N57=2,N58="A"),"",'1Př2'!G12)</f>
        <v/>
      </c>
      <c r="G75" s="1" t="s">
        <v>3438</v>
      </c>
      <c r="I75" s="277" t="s">
        <v>639</v>
      </c>
      <c r="J75" s="338">
        <f>'2Př'!G35</f>
        <v>0</v>
      </c>
      <c r="K75" s="284" t="s">
        <v>3438</v>
      </c>
      <c r="M75" s="277" t="s">
        <v>492</v>
      </c>
      <c r="N75" s="338">
        <f>'DAP2'!E10</f>
        <v>0</v>
      </c>
    </row>
    <row r="76" spans="1:22" ht="15" hidden="1" customHeight="1">
      <c r="A76" s="277" t="s">
        <v>3583</v>
      </c>
      <c r="B76">
        <f>'DAP3'!K21</f>
        <v>0</v>
      </c>
      <c r="E76" s="277" t="s">
        <v>597</v>
      </c>
      <c r="F76" s="338" t="str">
        <f>IF(OR(N57=2,N58="A"),"",'1Př2'!G13)</f>
        <v/>
      </c>
      <c r="G76" s="1" t="s">
        <v>3438</v>
      </c>
      <c r="I76" s="277" t="s">
        <v>640</v>
      </c>
      <c r="J76" s="338">
        <f>'2Př'!G34</f>
        <v>0</v>
      </c>
      <c r="K76" s="284" t="s">
        <v>3438</v>
      </c>
      <c r="M76" s="277" t="s">
        <v>3988</v>
      </c>
      <c r="N76" s="338">
        <f>'3Př'!F10</f>
        <v>0</v>
      </c>
    </row>
    <row r="77" spans="1:22" ht="15" hidden="1" customHeight="1">
      <c r="A77" s="277" t="s">
        <v>3584</v>
      </c>
      <c r="B77" s="336" t="str">
        <f>IF('DAP2'!H44&lt;&gt;"",CONCATENATE(MID('DAP2'!H44,5,2),".",IF(VALUE(MID('DAP2'!H44,3,2))&lt;13,MID('DAP2'!H44,3,2),MID('DAP2'!H44,3,2)-50),".",IF(MID('DAP2'!H44,1,2)&lt;"5","20","19"),MID('DAP2'!H44,1,2)),"")</f>
        <v/>
      </c>
      <c r="E77" s="277" t="s">
        <v>598</v>
      </c>
      <c r="F77" s="338" t="str">
        <f>IF(OR(N57=2,N58="A"),"",'1Př2'!G14)</f>
        <v/>
      </c>
      <c r="G77" s="1" t="s">
        <v>3438</v>
      </c>
      <c r="I77" s="277" t="s">
        <v>641</v>
      </c>
      <c r="J77" s="335" t="str">
        <f>IF('2Př'!D7&lt;&gt;"","A","N")</f>
        <v>N</v>
      </c>
      <c r="K77" s="284" t="s">
        <v>3438</v>
      </c>
      <c r="M77" s="277" t="s">
        <v>3989</v>
      </c>
      <c r="N77" s="339">
        <f>'3Př'!F30</f>
        <v>0</v>
      </c>
    </row>
    <row r="78" spans="1:22" ht="15" hidden="1" customHeight="1">
      <c r="A78" s="277" t="s">
        <v>3713</v>
      </c>
      <c r="B78">
        <f>IF('DAP3'!E10&lt;&gt;"",'DAP3'!E10,"")</f>
        <v>0</v>
      </c>
      <c r="I78" s="277" t="s">
        <v>3757</v>
      </c>
      <c r="J78" s="278" t="e">
        <f>IF('2Př'!#REF!&lt;&gt;"","A","N")</f>
        <v>#REF!</v>
      </c>
      <c r="M78" s="277" t="s">
        <v>3990</v>
      </c>
      <c r="N78" s="766">
        <f>'3Př'!F12</f>
        <v>0</v>
      </c>
    </row>
    <row r="79" spans="1:22" ht="15" hidden="1" customHeight="1">
      <c r="A79" s="277" t="s">
        <v>401</v>
      </c>
      <c r="B79" s="338">
        <f>'DAP3'!D46</f>
        <v>0</v>
      </c>
      <c r="M79" s="277" t="s">
        <v>3991</v>
      </c>
      <c r="N79" s="339">
        <f>'3Př'!F13</f>
        <v>0</v>
      </c>
    </row>
    <row r="80" spans="1:22" ht="15" hidden="1" customHeight="1">
      <c r="A80" s="277" t="s">
        <v>3982</v>
      </c>
      <c r="B80" s="338">
        <f>'4Př'!F19</f>
        <v>0</v>
      </c>
      <c r="Q80" t="s">
        <v>616</v>
      </c>
      <c r="R80" s="277" t="s">
        <v>619</v>
      </c>
      <c r="S80" s="280" t="s">
        <v>620</v>
      </c>
      <c r="T80" s="280" t="s">
        <v>621</v>
      </c>
      <c r="U80" s="280" t="s">
        <v>622</v>
      </c>
    </row>
    <row r="81" spans="1:21" ht="15" hidden="1" customHeight="1">
      <c r="A81" s="277" t="s">
        <v>3983</v>
      </c>
      <c r="B81" s="338">
        <f>'DAP3'!D25+'DAP3'!D26</f>
        <v>0</v>
      </c>
      <c r="R81" s="335" t="str">
        <f>IF('1Př2'!F44&lt;&gt;"",MID('1Př2'!F44,3,LEN('1Př2'!F44)-2),"")</f>
        <v/>
      </c>
      <c r="S81" s="335" t="str">
        <f>IF('1Př2'!B44&lt;&gt;"",'1Př2'!B44,"")</f>
        <v/>
      </c>
      <c r="T81" t="str">
        <f>IF('1Př2'!G44&lt;&gt;"",'1Př2'!G44*100,"")</f>
        <v/>
      </c>
      <c r="U81" s="335" t="str">
        <f>IF('1Př2'!D44&lt;&gt;"",'1Př2'!D44,"")</f>
        <v/>
      </c>
    </row>
    <row r="82" spans="1:21" ht="15" hidden="1" customHeight="1">
      <c r="A82" s="277" t="s">
        <v>3984</v>
      </c>
      <c r="B82" s="338">
        <f>'DAP3'!D30</f>
        <v>0</v>
      </c>
    </row>
    <row r="83" spans="1:21" ht="15" hidden="1" customHeight="1">
      <c r="A83" s="277" t="s">
        <v>3985</v>
      </c>
      <c r="B83" s="338">
        <f>'DAP3'!D31</f>
        <v>0</v>
      </c>
      <c r="K83" s="342"/>
      <c r="R83" s="284" t="s">
        <v>3438</v>
      </c>
      <c r="S83" s="284" t="s">
        <v>3438</v>
      </c>
      <c r="T83" s="284" t="s">
        <v>3438</v>
      </c>
      <c r="U83" s="284" t="s">
        <v>3438</v>
      </c>
    </row>
    <row r="87" spans="1:21" ht="15" hidden="1" customHeight="1">
      <c r="A87" s="334" t="s">
        <v>674</v>
      </c>
    </row>
    <row r="88" spans="1:21" ht="15" hidden="1" customHeight="1">
      <c r="A88" s="277" t="s">
        <v>675</v>
      </c>
      <c r="B88" s="278"/>
    </row>
    <row r="89" spans="1:21" ht="15" hidden="1" customHeight="1">
      <c r="A89" s="277" t="s">
        <v>676</v>
      </c>
      <c r="B89" s="335" t="str">
        <f>IF('DAP4'!D54&lt;&gt;0,+CONCATENATE(ZAKL_DATA!B33),"")</f>
        <v/>
      </c>
      <c r="C89" s="284" t="s">
        <v>3449</v>
      </c>
    </row>
    <row r="90" spans="1:21" ht="15" hidden="1" customHeight="1">
      <c r="A90" s="277" t="s">
        <v>677</v>
      </c>
      <c r="B90" s="278"/>
      <c r="Q90" t="s">
        <v>617</v>
      </c>
      <c r="R90" s="277" t="s">
        <v>623</v>
      </c>
      <c r="S90" s="280" t="s">
        <v>624</v>
      </c>
    </row>
    <row r="91" spans="1:21" ht="15" hidden="1" customHeight="1">
      <c r="A91" s="277" t="s">
        <v>678</v>
      </c>
      <c r="B91" s="278"/>
      <c r="R91" s="335" t="str">
        <f>IF('1Př2'!F47&lt;&gt;"",MID('1Př2'!F47,3,LEN('1Př2'!F47)-2),"")</f>
        <v/>
      </c>
      <c r="S91" t="str">
        <f>IF('1Př2'!G47&lt;&gt;"",'1Př2'!G47*100,"")</f>
        <v/>
      </c>
    </row>
    <row r="92" spans="1:21" ht="15" hidden="1" customHeight="1">
      <c r="A92" s="277" t="s">
        <v>679</v>
      </c>
      <c r="B92" t="str">
        <f>IF('DAP4'!D54&lt;&gt;0,'DAP4'!D54,"")</f>
        <v/>
      </c>
      <c r="C92" s="284" t="s">
        <v>3449</v>
      </c>
    </row>
    <row r="93" spans="1:21" ht="15" hidden="1" customHeight="1">
      <c r="A93" s="277" t="s">
        <v>680</v>
      </c>
      <c r="B93" s="278"/>
      <c r="R93" s="284" t="s">
        <v>3438</v>
      </c>
      <c r="S93" s="284" t="s">
        <v>3438</v>
      </c>
    </row>
    <row r="94" spans="1:21" ht="15" hidden="1" customHeight="1">
      <c r="A94" s="277" t="s">
        <v>681</v>
      </c>
      <c r="B94" s="335" t="str">
        <f>IF('DAP4'!D54&lt;&gt;0,ZAKL_DATA!B18,"")</f>
        <v/>
      </c>
      <c r="C94" s="284" t="s">
        <v>3449</v>
      </c>
    </row>
    <row r="95" spans="1:21" ht="15" hidden="1" customHeight="1">
      <c r="A95" s="277" t="s">
        <v>682</v>
      </c>
      <c r="B95" s="278"/>
    </row>
    <row r="96" spans="1:21" ht="15" hidden="1" customHeight="1">
      <c r="A96" s="277" t="s">
        <v>683</v>
      </c>
      <c r="B96" s="335" t="str">
        <f>IF('DAP4'!D54&lt;&gt;0,+CONCATENATE('DAP1'!B28," ",'DAP1'!J28),"")</f>
        <v/>
      </c>
      <c r="C96" s="284" t="s">
        <v>3449</v>
      </c>
    </row>
    <row r="97" spans="1:23" ht="15" hidden="1" customHeight="1">
      <c r="A97" s="277" t="s">
        <v>684</v>
      </c>
      <c r="B97" s="278"/>
    </row>
    <row r="98" spans="1:23" ht="15" hidden="1" customHeight="1">
      <c r="A98" s="277" t="s">
        <v>685</v>
      </c>
      <c r="B98" s="335" t="str">
        <f>IF('DAP4'!D54&lt;&gt;0,ZAKL_DATA!B19,"")</f>
        <v/>
      </c>
      <c r="C98" s="284" t="s">
        <v>3449</v>
      </c>
    </row>
    <row r="99" spans="1:23" ht="15" hidden="1" customHeight="1">
      <c r="A99" s="277" t="s">
        <v>686</v>
      </c>
      <c r="B99" s="278"/>
    </row>
    <row r="100" spans="1:23" ht="15" hidden="1" customHeight="1">
      <c r="A100" s="277" t="s">
        <v>687</v>
      </c>
      <c r="B100" s="335" t="str">
        <f>IF('DAP4'!D54&lt;&gt;0,ZAKL_DATA!B18,"")</f>
        <v/>
      </c>
      <c r="C100" s="284" t="s">
        <v>3449</v>
      </c>
      <c r="Q100" t="s">
        <v>642</v>
      </c>
      <c r="R100" s="277" t="s">
        <v>645</v>
      </c>
      <c r="S100" s="280" t="s">
        <v>646</v>
      </c>
      <c r="T100" s="280" t="s">
        <v>647</v>
      </c>
      <c r="U100" s="280" t="s">
        <v>648</v>
      </c>
      <c r="V100" s="280" t="s">
        <v>649</v>
      </c>
      <c r="W100" s="280" t="s">
        <v>650</v>
      </c>
    </row>
    <row r="101" spans="1:23" ht="15" hidden="1" customHeight="1">
      <c r="A101" s="277" t="s">
        <v>688</v>
      </c>
      <c r="B101" s="335" t="str">
        <f>IF('DAP4'!D54&lt;&gt;0,IF(ZAKL_DATA!B20&lt;&gt;"",VLOOKUP(ZAKL_DATA!B20,FU!J3:K253,2,FALSE),"CZ"),"")</f>
        <v/>
      </c>
      <c r="C101" s="284" t="s">
        <v>3449</v>
      </c>
      <c r="R101" s="335" t="str">
        <f>IF('2Př'!B24&lt;&gt;"",'2Př'!B24,"")</f>
        <v/>
      </c>
      <c r="S101" s="335" t="str">
        <f>IF('2Př'!J24&lt;&gt;"",'2Př'!J24,"")</f>
        <v/>
      </c>
      <c r="T101" s="335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5" hidden="1" customHeight="1">
      <c r="A102" s="277" t="s">
        <v>689</v>
      </c>
      <c r="B102" s="278"/>
      <c r="R102" s="278" t="str">
        <f>IF('2Př'!B25&lt;&gt;"",'2Př'!B25,"")</f>
        <v/>
      </c>
      <c r="S102" s="278" t="str">
        <f>IF('2Př'!J25&lt;&gt;"",'2Př'!J25,"")</f>
        <v/>
      </c>
      <c r="T102" s="278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5" hidden="1" customHeight="1">
      <c r="A103" s="277" t="s">
        <v>690</v>
      </c>
      <c r="B103" s="278"/>
      <c r="R103" s="278" t="str">
        <f>IF('2Př'!B26&lt;&gt;"",'2Př'!B26,"")</f>
        <v/>
      </c>
      <c r="S103" s="278" t="str">
        <f>IF('2Př'!J26&lt;&gt;"",'2Př'!J26,"")</f>
        <v/>
      </c>
      <c r="T103" s="278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5" hidden="1" customHeight="1">
      <c r="A104" s="277" t="s">
        <v>691</v>
      </c>
      <c r="B104" s="278" t="str">
        <f>IF('DAP4'!D54&lt;&gt;0,ZAKL_DATA!B16,"")</f>
        <v/>
      </c>
      <c r="C104" s="284" t="s">
        <v>3449</v>
      </c>
      <c r="R104" s="278" t="str">
        <f>IF('2Př'!B27&lt;&gt;"",'2Př'!B27,"")</f>
        <v/>
      </c>
      <c r="S104" s="278" t="str">
        <f>IF('2Př'!J27&lt;&gt;"",'2Př'!J27,"")</f>
        <v/>
      </c>
      <c r="T104" s="278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23" ht="15" hidden="1" customHeight="1">
      <c r="A105" s="277" t="s">
        <v>692</v>
      </c>
      <c r="B105" s="335" t="str">
        <f>IF('DAP4'!D54&lt;&gt;0,IF('DAP4'!G56&lt;&gt;"","U","A"),"")</f>
        <v/>
      </c>
      <c r="C105" s="284" t="s">
        <v>3449</v>
      </c>
    </row>
    <row r="106" spans="1:23" ht="15" hidden="1" customHeight="1">
      <c r="A106" s="277" t="s">
        <v>693</v>
      </c>
      <c r="B106" s="335" t="str">
        <f>IF('DAP4'!D54&lt;&gt;0,IF(ISNUMBER(FIND("-",ZAKL_DATA!B32)),MID(ZAKL_DATA!B32,(FIND("-",ZAKL_DATA!B32,1))+1,LEN(ZAKL_DATA!B32)),ZAKL_DATA!B32),"")</f>
        <v/>
      </c>
      <c r="C106" s="284" t="s">
        <v>3449</v>
      </c>
      <c r="T106" s="345"/>
    </row>
    <row r="107" spans="1:23" ht="15" hidden="1" customHeight="1">
      <c r="A107" s="277" t="s">
        <v>694</v>
      </c>
      <c r="B107" s="342"/>
      <c r="C107" s="284" t="s">
        <v>3449</v>
      </c>
    </row>
    <row r="108" spans="1:23" ht="15" hidden="1" customHeight="1">
      <c r="A108" s="277" t="s">
        <v>695</v>
      </c>
      <c r="B108" s="335" t="str">
        <f>IF('DAP4'!D54&lt;&gt;0,IF(ISNUMBER(FIND("/",ZAKL_DATA!B17)),MID(ZAKL_DATA!B17,(FIND("/",ZAKL_DATA!B17,1))+1,LEN(ZAKL_DATA!B17)),""),"")</f>
        <v/>
      </c>
      <c r="C108" s="284" t="s">
        <v>3449</v>
      </c>
    </row>
    <row r="109" spans="1:23" ht="15" hidden="1" customHeight="1">
      <c r="A109" s="277" t="s">
        <v>696</v>
      </c>
      <c r="B109" s="342" t="str">
        <f>IF('DAP4'!D54&lt;&gt;0,IF(ISNUMBER(FIND("/",ZAKL_DATA!B17)),LEFT(ZAKL_DATA!B17,(FIND("/",ZAKL_DATA!B17,1))-1),ZAKL_DATA!B17),"")</f>
        <v/>
      </c>
      <c r="C109" s="284" t="s">
        <v>3449</v>
      </c>
    </row>
    <row r="110" spans="1:23" ht="15" hidden="1" customHeight="1">
      <c r="A110" s="277" t="s">
        <v>697</v>
      </c>
      <c r="B110" s="335" t="str">
        <f>IF('DAP4'!D54&lt;&gt;0,ZAKL_DATA!B4,"")</f>
        <v/>
      </c>
      <c r="C110" s="284" t="s">
        <v>3449</v>
      </c>
      <c r="Q110" t="s">
        <v>644</v>
      </c>
      <c r="R110" s="277" t="s">
        <v>654</v>
      </c>
      <c r="S110" s="280" t="s">
        <v>655</v>
      </c>
      <c r="T110" s="280" t="s">
        <v>656</v>
      </c>
    </row>
    <row r="111" spans="1:23" ht="15" hidden="1" customHeight="1">
      <c r="A111" s="277" t="s">
        <v>698</v>
      </c>
      <c r="B111" s="342" t="str">
        <f>IF('DAP4'!D54&lt;&gt;0,ZAKL_DATA!B33,"")</f>
        <v/>
      </c>
      <c r="C111" s="284" t="s">
        <v>3449</v>
      </c>
      <c r="R111" s="278"/>
      <c r="T111" s="278"/>
    </row>
    <row r="112" spans="1:23" ht="15" hidden="1" customHeight="1">
      <c r="A112" s="277" t="s">
        <v>699</v>
      </c>
      <c r="B112" s="335" t="str">
        <f>IF('DAP4'!D54&lt;&gt;0,ZAKL_DATA!B34,"")</f>
        <v/>
      </c>
      <c r="C112" s="284" t="s">
        <v>3449</v>
      </c>
    </row>
    <row r="113" spans="1:28" ht="15" hidden="1" customHeight="1">
      <c r="A113" s="277" t="s">
        <v>700</v>
      </c>
      <c r="B113" s="335" t="str">
        <f>IF('DAP4'!D54&lt;&gt;0,ZAKL_DATA!B18,"")</f>
        <v/>
      </c>
      <c r="C113" s="284" t="s">
        <v>3449</v>
      </c>
      <c r="Q113" s="284" t="s">
        <v>3447</v>
      </c>
      <c r="R113" s="341" t="s">
        <v>3443</v>
      </c>
      <c r="S113" s="337"/>
      <c r="T113" s="337"/>
    </row>
    <row r="114" spans="1:28" ht="15" hidden="1" customHeight="1">
      <c r="A114" s="277" t="s">
        <v>701</v>
      </c>
      <c r="B114" s="342" t="str">
        <f>IF('DAP4'!D54&lt;&gt;0,IF(ISNUMBER(FIND("-",ZAKL_DATA!B32)),LEFT(ZAKL_DATA!B32,(FIND("-",ZAKL_DATA!B32,1))-1),""),"")</f>
        <v/>
      </c>
      <c r="C114" s="284" t="s">
        <v>3449</v>
      </c>
    </row>
    <row r="115" spans="1:28" ht="15" hidden="1" customHeight="1">
      <c r="A115" s="277" t="s">
        <v>702</v>
      </c>
      <c r="B115" s="335" t="str">
        <f>IF('DAP4'!D54&lt;&gt;0,ZAKL_DATA!B5,"")</f>
        <v/>
      </c>
      <c r="C115" s="284" t="s">
        <v>3449</v>
      </c>
    </row>
    <row r="116" spans="1:28" ht="15" hidden="1" customHeight="1">
      <c r="A116" s="277" t="s">
        <v>703</v>
      </c>
      <c r="B116" s="342" t="str">
        <f>IF('DAP4'!D54&lt;&gt;0,ZAKL_DATA!B19,"")</f>
        <v/>
      </c>
      <c r="C116" s="284" t="s">
        <v>3449</v>
      </c>
    </row>
    <row r="117" spans="1:28" ht="15" hidden="1" customHeight="1">
      <c r="A117" s="277" t="s">
        <v>704</v>
      </c>
      <c r="B117" s="335" t="str">
        <f>IF('DAP4'!D54&lt;&gt;0,'DAP4'!H57,"")</f>
        <v/>
      </c>
      <c r="C117" s="284" t="s">
        <v>3449</v>
      </c>
    </row>
    <row r="118" spans="1:28" ht="15" hidden="1" customHeight="1">
      <c r="A118" s="277" t="s">
        <v>705</v>
      </c>
      <c r="B118" s="335" t="str">
        <f>IF('DAP4'!D54&lt;&gt;0,ZAKL_DATA!B7,"")</f>
        <v/>
      </c>
      <c r="C118" s="284" t="s">
        <v>3449</v>
      </c>
    </row>
    <row r="119" spans="1:28" ht="15" hidden="1" customHeight="1">
      <c r="A119" s="277" t="s">
        <v>706</v>
      </c>
      <c r="B119" s="335" t="str">
        <f>IF('DAP4'!D54&lt;&gt;0,ZAKL_DATA!B16,"")</f>
        <v/>
      </c>
      <c r="C119" s="284" t="s">
        <v>3449</v>
      </c>
    </row>
    <row r="120" spans="1:28" ht="15" hidden="1" customHeight="1">
      <c r="Q120" t="s">
        <v>657</v>
      </c>
      <c r="R120" s="277" t="s">
        <v>659</v>
      </c>
      <c r="S120" s="280" t="s">
        <v>660</v>
      </c>
      <c r="T120" s="280" t="s">
        <v>661</v>
      </c>
      <c r="U120" s="280" t="s">
        <v>662</v>
      </c>
      <c r="V120" s="280" t="s">
        <v>663</v>
      </c>
      <c r="W120" s="280" t="s">
        <v>664</v>
      </c>
      <c r="X120" s="280" t="s">
        <v>665</v>
      </c>
      <c r="Y120" s="280" t="s">
        <v>666</v>
      </c>
      <c r="Z120" s="280" t="s">
        <v>667</v>
      </c>
      <c r="AA120" s="280" t="s">
        <v>668</v>
      </c>
      <c r="AB120" s="767" t="s">
        <v>3992</v>
      </c>
    </row>
    <row r="121" spans="1:28" ht="15" hidden="1" customHeight="1">
      <c r="R121" s="339">
        <f>'3Př_a'!F17</f>
        <v>0</v>
      </c>
      <c r="S121" s="338">
        <f>'3Př_a'!F14</f>
        <v>0</v>
      </c>
      <c r="T121" s="338">
        <f>'3Př_a'!F12</f>
        <v>0</v>
      </c>
      <c r="U121" s="338">
        <f>'3Př_a'!F13</f>
        <v>0</v>
      </c>
      <c r="V121" s="339">
        <f>'3Př_a'!F16</f>
        <v>0</v>
      </c>
      <c r="W121" s="338">
        <f>'3Př_a'!F12</f>
        <v>0</v>
      </c>
      <c r="X121" s="338">
        <f>'3Př_a'!F13</f>
        <v>0</v>
      </c>
      <c r="Y121" s="335" t="str">
        <f>IF('3Př_a'!C8&lt;&gt;"",'3Př_a'!C8,"")</f>
        <v/>
      </c>
      <c r="Z121" s="342">
        <f>'3Př_a'!F15*100</f>
        <v>0</v>
      </c>
      <c r="AA121" s="339">
        <f>'3Př_a'!F18</f>
        <v>0</v>
      </c>
      <c r="AB121" s="338">
        <f>'3Př_a'!F14</f>
        <v>0</v>
      </c>
    </row>
    <row r="123" spans="1:28" ht="15" hidden="1" customHeight="1">
      <c r="T123" s="341" t="s">
        <v>3444</v>
      </c>
      <c r="U123" s="337"/>
    </row>
    <row r="124" spans="1:28" ht="15" hidden="1" customHeight="1">
      <c r="T124" s="284" t="s">
        <v>3448</v>
      </c>
    </row>
    <row r="130" spans="17:55" ht="15" hidden="1" customHeight="1">
      <c r="Q130" t="s">
        <v>658</v>
      </c>
      <c r="R130" s="277" t="s">
        <v>669</v>
      </c>
      <c r="S130" s="280" t="s">
        <v>670</v>
      </c>
      <c r="T130" s="280" t="s">
        <v>671</v>
      </c>
      <c r="U130" s="280" t="s">
        <v>672</v>
      </c>
      <c r="V130" s="280" t="s">
        <v>673</v>
      </c>
    </row>
    <row r="131" spans="17:55" ht="15" hidden="1" customHeight="1">
      <c r="R131" s="335">
        <f>IF('6Př'!B12&lt;&gt;"",'6Př'!B12,"")</f>
        <v>2020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284" t="s">
        <v>3438</v>
      </c>
    </row>
    <row r="132" spans="17:55" ht="15" hidden="1" customHeight="1">
      <c r="R132" s="278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7:55" ht="15" hidden="1" customHeight="1">
      <c r="R133" s="278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7:55" ht="15" hidden="1" customHeight="1">
      <c r="R134" s="278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7:55" ht="15" hidden="1" customHeight="1">
      <c r="R135" s="278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7:55" ht="15" hidden="1" customHeight="1">
      <c r="R136" s="278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7:55" ht="15" hidden="1" customHeight="1">
      <c r="R137" s="278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7:55" ht="15" hidden="1" customHeight="1">
      <c r="R138" s="278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7:55" ht="15" hidden="1" customHeight="1">
      <c r="R140" s="284" t="s">
        <v>3438</v>
      </c>
      <c r="S140" s="284" t="s">
        <v>3438</v>
      </c>
      <c r="T140" s="284" t="s">
        <v>3438</v>
      </c>
      <c r="U140" s="284" t="s">
        <v>3438</v>
      </c>
      <c r="V140" s="284" t="s">
        <v>3438</v>
      </c>
    </row>
    <row r="143" spans="17:55" ht="15" hidden="1" customHeight="1">
      <c r="Q143" t="s">
        <v>707</v>
      </c>
      <c r="R143" s="277" t="s">
        <v>709</v>
      </c>
      <c r="S143" s="280" t="s">
        <v>710</v>
      </c>
      <c r="T143" s="280" t="s">
        <v>711</v>
      </c>
      <c r="U143" s="280" t="s">
        <v>712</v>
      </c>
      <c r="V143" s="280" t="s">
        <v>713</v>
      </c>
      <c r="W143" s="277" t="s">
        <v>3591</v>
      </c>
      <c r="AL143" s="277"/>
      <c r="AM143" s="277"/>
      <c r="AN143" s="277"/>
      <c r="AO143" s="277"/>
      <c r="AP143" s="277"/>
      <c r="AQ143" s="277"/>
      <c r="AR143" s="277"/>
      <c r="AS143" s="277"/>
      <c r="AT143" s="277"/>
      <c r="AU143" s="277"/>
      <c r="AV143" s="277"/>
      <c r="AW143" s="277"/>
      <c r="AX143" s="277"/>
      <c r="AY143" s="277"/>
      <c r="AZ143" s="277"/>
      <c r="BA143" s="277"/>
      <c r="BB143" s="277"/>
      <c r="BC143" s="277"/>
    </row>
    <row r="144" spans="17:55" ht="15" hidden="1" customHeight="1">
      <c r="R144" s="338"/>
    </row>
    <row r="146" spans="17:22" ht="15" hidden="1" customHeight="1">
      <c r="R146" s="341" t="s">
        <v>3445</v>
      </c>
      <c r="S146" s="337"/>
      <c r="T146" s="337"/>
      <c r="U146" s="337"/>
      <c r="V146" s="337"/>
    </row>
    <row r="153" spans="17:22" ht="15" hidden="1" customHeight="1">
      <c r="Q153" t="s">
        <v>708</v>
      </c>
      <c r="R153" s="277" t="s">
        <v>714</v>
      </c>
      <c r="S153" s="280" t="s">
        <v>715</v>
      </c>
      <c r="T153" s="280" t="s">
        <v>716</v>
      </c>
      <c r="U153" s="280" t="s">
        <v>717</v>
      </c>
      <c r="V153" s="280" t="s">
        <v>718</v>
      </c>
    </row>
    <row r="154" spans="17:22" ht="15" hidden="1" customHeight="1">
      <c r="R154" t="str">
        <f>IF(Př_b!E10&lt;&gt;"",Př_b!E10,"")</f>
        <v/>
      </c>
      <c r="S154" s="335" t="str">
        <f>IF(AND(Př_b!B10&lt;&gt;"",Př_b!B10&lt;&gt;0),Př_b!B10,"")</f>
        <v/>
      </c>
      <c r="T154" s="335" t="str">
        <f>IF(AND(Př_b!C10&lt;&gt;"",Př_b!C10&lt;&gt;0),VLOOKUP(Př_b!C10,FU!$J$3:$K$253,2,FALSE),"")</f>
        <v/>
      </c>
      <c r="U154" t="str">
        <f>IF(Př_b!F10&lt;&gt;"",Př_b!F10,"")</f>
        <v/>
      </c>
      <c r="V154" s="284" t="str">
        <f>IF(Př_b!D10&lt;&gt;"",Př_b!D10,"")</f>
        <v/>
      </c>
    </row>
    <row r="155" spans="17:22" ht="15" hidden="1" customHeight="1">
      <c r="R155" t="str">
        <f>IF(Př_b!E11&lt;&gt;"",Př_b!E11,"")</f>
        <v/>
      </c>
      <c r="S155" s="278" t="str">
        <f>IF(AND(Př_b!B11&lt;&gt;"",Př_b!B11&lt;&gt;0),Př_b!B11,"")</f>
        <v/>
      </c>
      <c r="T155" s="278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7:22" ht="15" hidden="1" customHeight="1">
      <c r="R156" t="str">
        <f>IF(Př_b!E12&lt;&gt;"",Př_b!E12,"")</f>
        <v/>
      </c>
      <c r="S156" s="278" t="str">
        <f>IF(AND(Př_b!B12&lt;&gt;"",Př_b!B12&lt;&gt;0),Př_b!B12,"")</f>
        <v/>
      </c>
      <c r="T156" s="278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7:22" ht="15" hidden="1" customHeight="1">
      <c r="R157" t="str">
        <f>IF(Př_b!E13&lt;&gt;"",Př_b!E13,"")</f>
        <v/>
      </c>
      <c r="S157" s="278" t="str">
        <f>IF(AND(Př_b!B13&lt;&gt;"",Př_b!B13&lt;&gt;0),Př_b!B13,"")</f>
        <v/>
      </c>
      <c r="T157" s="278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7:22" ht="15" hidden="1" customHeight="1">
      <c r="R158" t="str">
        <f>IF(Př_b!E14&lt;&gt;"",Př_b!E14,"")</f>
        <v/>
      </c>
      <c r="S158" s="278" t="str">
        <f>IF(AND(Př_b!B14&lt;&gt;"",Př_b!B14&lt;&gt;0),Př_b!B14,"")</f>
        <v/>
      </c>
      <c r="T158" s="278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7:22" ht="15" hidden="1" customHeight="1">
      <c r="R159" t="str">
        <f>IF(Př_b!E15&lt;&gt;"",Př_b!E15,"")</f>
        <v/>
      </c>
      <c r="S159" s="278" t="str">
        <f>IF(AND(Př_b!B15&lt;&gt;"",Př_b!B15&lt;&gt;0),Př_b!B15,"")</f>
        <v/>
      </c>
      <c r="T159" s="278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7:22" ht="15" hidden="1" customHeight="1">
      <c r="R160" t="str">
        <f>IF(Př_b!E16&lt;&gt;"",Př_b!E16,"")</f>
        <v/>
      </c>
      <c r="S160" s="278" t="str">
        <f>IF(AND(Př_b!B16&lt;&gt;"",Př_b!B16&lt;&gt;0),Př_b!B16,"")</f>
        <v/>
      </c>
      <c r="T160" s="278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8" ht="15" hidden="1" customHeight="1">
      <c r="R161" t="str">
        <f>IF(Př_b!E17&lt;&gt;"",Př_b!E17,"")</f>
        <v/>
      </c>
      <c r="S161" s="278" t="str">
        <f>IF(AND(Př_b!B17&lt;&gt;"",Př_b!B17&lt;&gt;0),Př_b!B17,"")</f>
        <v/>
      </c>
      <c r="T161" s="278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8" ht="15" hidden="1" customHeight="1">
      <c r="R162" t="str">
        <f>IF(Př_b!E18&lt;&gt;"",Př_b!E18,"")</f>
        <v/>
      </c>
      <c r="S162" s="278" t="str">
        <f>IF(AND(Př_b!B18&lt;&gt;"",Př_b!B18&lt;&gt;0),Př_b!B18,"")</f>
        <v/>
      </c>
      <c r="T162" s="278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8" ht="15" hidden="1" customHeight="1">
      <c r="R163" t="str">
        <f>IF(Př_b!E19&lt;&gt;"",Př_b!E19,"")</f>
        <v/>
      </c>
      <c r="S163" s="278" t="str">
        <f>IF(AND(Př_b!B19&lt;&gt;"",Př_b!B19&lt;&gt;0),Př_b!B19,"")</f>
        <v/>
      </c>
      <c r="T163" s="278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8" ht="15" hidden="1" customHeight="1">
      <c r="R164" t="str">
        <f>IF(Př_b!E20&lt;&gt;"",Př_b!E20,"")</f>
        <v/>
      </c>
      <c r="S164" s="278" t="str">
        <f>IF(AND(Př_b!B20&lt;&gt;"",Př_b!B20&lt;&gt;0),Př_b!B20,"")</f>
        <v/>
      </c>
      <c r="T164" s="278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8" ht="15" hidden="1" customHeight="1">
      <c r="R165" t="str">
        <f>IF(Př_b!E21&lt;&gt;"",Př_b!E21,"")</f>
        <v/>
      </c>
      <c r="S165" s="278" t="str">
        <f>IF(AND(Př_b!B21&lt;&gt;"",Př_b!B21&lt;&gt;0),Př_b!B21,"")</f>
        <v/>
      </c>
      <c r="T165" s="278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8" ht="15" hidden="1" customHeight="1">
      <c r="R166" t="str">
        <f>IF(Př_b!E22&lt;&gt;"",Př_b!E22,"")</f>
        <v/>
      </c>
      <c r="S166" s="278" t="str">
        <f>IF(AND(Př_b!B22&lt;&gt;"",Př_b!B22&lt;&gt;0),Př_b!B22,"")</f>
        <v/>
      </c>
      <c r="T166" s="278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8" ht="15" hidden="1" customHeight="1">
      <c r="R167" t="str">
        <f>IF(Př_b!E23&lt;&gt;"",Př_b!E23,"")</f>
        <v/>
      </c>
      <c r="S167" s="278" t="str">
        <f>IF(AND(Př_b!B23&lt;&gt;"",Př_b!B23&lt;&gt;0),Př_b!B23,"")</f>
        <v/>
      </c>
      <c r="T167" s="278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8" ht="15" hidden="1" customHeight="1">
      <c r="R168" t="str">
        <f>IF(Př_b!E24&lt;&gt;"",Př_b!E24,"")</f>
        <v/>
      </c>
      <c r="S168" s="278" t="str">
        <f>IF(AND(Př_b!B24&lt;&gt;"",Př_b!B24&lt;&gt;0),Př_b!B24,"")</f>
        <v/>
      </c>
      <c r="T168" s="278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8" ht="15" hidden="1" customHeight="1">
      <c r="R169" t="str">
        <f>IF(Př_b!E25&lt;&gt;"",Př_b!E25,"")</f>
        <v/>
      </c>
      <c r="S169" s="278" t="str">
        <f>IF(AND(Př_b!B25&lt;&gt;"",Př_b!B25&lt;&gt;0),Př_b!B25,"")</f>
        <v/>
      </c>
      <c r="T169" s="278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8" ht="15" hidden="1" customHeight="1">
      <c r="R171" s="284" t="s">
        <v>3438</v>
      </c>
      <c r="S171" s="284" t="s">
        <v>3438</v>
      </c>
      <c r="T171" s="284" t="s">
        <v>3438</v>
      </c>
      <c r="U171" s="284" t="s">
        <v>3438</v>
      </c>
      <c r="V171" s="284" t="s">
        <v>3438</v>
      </c>
    </row>
    <row r="176" spans="18:28" ht="15" hidden="1" customHeight="1">
      <c r="AB176">
        <v>1</v>
      </c>
    </row>
    <row r="177" spans="17:55" ht="15" hidden="1" customHeight="1">
      <c r="Q177" t="s">
        <v>719</v>
      </c>
      <c r="R177" s="277" t="s">
        <v>721</v>
      </c>
      <c r="S177" s="280" t="s">
        <v>722</v>
      </c>
      <c r="T177" s="280" t="s">
        <v>723</v>
      </c>
      <c r="U177" s="280" t="s">
        <v>724</v>
      </c>
      <c r="V177" s="280" t="s">
        <v>725</v>
      </c>
      <c r="W177" s="280" t="s">
        <v>726</v>
      </c>
      <c r="Y177" s="284" t="s">
        <v>3716</v>
      </c>
      <c r="Z177" s="284" t="s">
        <v>3717</v>
      </c>
      <c r="AA177" s="284" t="s">
        <v>3718</v>
      </c>
      <c r="AB177" s="277" t="s">
        <v>721</v>
      </c>
      <c r="AC177" s="280" t="s">
        <v>722</v>
      </c>
      <c r="AD177" s="280" t="s">
        <v>727</v>
      </c>
      <c r="AE177" s="280" t="s">
        <v>728</v>
      </c>
      <c r="AI177" t="s">
        <v>720</v>
      </c>
      <c r="AJ177" s="277" t="s">
        <v>721</v>
      </c>
      <c r="AK177" s="280" t="s">
        <v>722</v>
      </c>
      <c r="AL177" s="280" t="s">
        <v>727</v>
      </c>
      <c r="AM177" s="280" t="s">
        <v>728</v>
      </c>
      <c r="AP177" t="s">
        <v>729</v>
      </c>
      <c r="AQ177" s="277" t="s">
        <v>721</v>
      </c>
      <c r="AR177" s="280" t="s">
        <v>722</v>
      </c>
      <c r="AS177" s="280" t="s">
        <v>727</v>
      </c>
      <c r="AT177" s="280" t="s">
        <v>728</v>
      </c>
      <c r="AV177" s="284" t="s">
        <v>3716</v>
      </c>
      <c r="AW177" s="284" t="s">
        <v>3717</v>
      </c>
      <c r="AX177" s="284" t="s">
        <v>3718</v>
      </c>
      <c r="AY177" t="s">
        <v>730</v>
      </c>
      <c r="AZ177" s="277" t="s">
        <v>721</v>
      </c>
      <c r="BA177" s="280" t="s">
        <v>722</v>
      </c>
      <c r="BB177" s="280" t="s">
        <v>727</v>
      </c>
      <c r="BC177" s="280" t="s">
        <v>728</v>
      </c>
    </row>
    <row r="178" spans="17:55" ht="15" hidden="1" customHeight="1">
      <c r="Q178">
        <v>1</v>
      </c>
      <c r="R178">
        <f t="shared" ref="R178:R209" si="1">$Q$178</f>
        <v>1</v>
      </c>
      <c r="S178" s="340">
        <f>IF($B$38="P",Y178,IF($B$38="Z",IF(Z178&lt;&gt;"",Z178,""),IF($B$38="M",IF(AA178&lt;&gt;"",AA178,""),Y178)))</f>
        <v>1</v>
      </c>
      <c r="T178" s="453" t="str">
        <f>IF(Účetní_závěrka!D12&lt;&gt;"",Účetní_závěrka!D12,"")</f>
        <v/>
      </c>
      <c r="U178" s="453" t="str">
        <f>IF(Účetní_závěrka!E12&lt;&gt;"",ABS(Účetní_závěrka!E12),"")</f>
        <v/>
      </c>
      <c r="V178" s="453" t="str">
        <f>IF(Účetní_závěrka!F12&lt;&gt;"",Účetní_závěrka!F12,"")</f>
        <v/>
      </c>
      <c r="W178" s="453" t="str">
        <f>IF(Účetní_závěrka!G12&lt;&gt;"",Účetní_závěrka!G12,"")</f>
        <v/>
      </c>
      <c r="Y178">
        <v>1</v>
      </c>
      <c r="Z178">
        <v>1</v>
      </c>
      <c r="AA178">
        <v>1</v>
      </c>
      <c r="AB178">
        <f t="shared" ref="AB178:AB209" si="2">$AB$176</f>
        <v>1</v>
      </c>
      <c r="AC178" s="452">
        <f t="shared" ref="AC178:AC209" si="3">IF($B$38="P",AG178,IF(AH178&lt;&gt;"",AH178,""))</f>
        <v>1</v>
      </c>
      <c r="AD178" s="453" t="str">
        <f>IF(Účetní_závěrka!E96&lt;&gt;"",Účetní_závěrka!E96,"")</f>
        <v/>
      </c>
      <c r="AE178" s="453" t="str">
        <f>IF(Účetní_závěrka!D96&lt;&gt;"",Účetní_závěrka!D96,"")</f>
        <v/>
      </c>
      <c r="AG178">
        <v>1</v>
      </c>
      <c r="AH178">
        <v>1</v>
      </c>
      <c r="AI178">
        <v>1</v>
      </c>
      <c r="AP178">
        <v>1</v>
      </c>
      <c r="AQ178">
        <f t="shared" ref="AQ178:AQ209" si="4">$AP$178</f>
        <v>1</v>
      </c>
      <c r="AR178" s="452">
        <f t="shared" ref="AR178:AR241" si="5">IF($B$38="P",AV178,IF($B$38="Z",IF(AW178&lt;&gt;"",AW178,""),IF($B$38="M",IF(AX178&lt;&gt;"",AX178,""),AV178)))</f>
        <v>1</v>
      </c>
      <c r="AS178" s="453" t="str">
        <f>IF(Účetní_závěrka!L12&lt;&gt;"",Účetní_závěrka!L12,"")</f>
        <v/>
      </c>
      <c r="AT178" s="453" t="str">
        <f>IF(Účetní_závěrka!K12&lt;&gt;"",Účetní_závěrka!K12,"")</f>
        <v/>
      </c>
      <c r="AV178">
        <v>1</v>
      </c>
      <c r="AW178">
        <v>1</v>
      </c>
      <c r="AX178">
        <v>1</v>
      </c>
      <c r="AY178">
        <v>1</v>
      </c>
    </row>
    <row r="179" spans="17:55" ht="15" hidden="1" customHeight="1">
      <c r="R179">
        <f t="shared" si="1"/>
        <v>1</v>
      </c>
      <c r="S179" s="452">
        <f t="shared" ref="S179:S241" si="6">IF($B$38="P",Y179,IF($B$38="Z",IF(Z179&lt;&gt;"",Z179,""),IF($B$38="M",IF(AA179&lt;&gt;"",AA179,""),Y179)))</f>
        <v>2</v>
      </c>
      <c r="T179" s="453" t="str">
        <f>IF(Účetní_závěrka!D13&lt;&gt;"",Účetní_závěrka!D13,"")</f>
        <v/>
      </c>
      <c r="U179" s="453" t="str">
        <f>IF(Účetní_závěrka!E13&lt;&gt;"",ABS(Účetní_závěrka!E13),"")</f>
        <v/>
      </c>
      <c r="V179" s="453" t="str">
        <f>IF(Účetní_závěrka!F13&lt;&gt;"",Účetní_závěrka!F13,"")</f>
        <v/>
      </c>
      <c r="W179" s="453" t="str">
        <f>IF(Účetní_závěrka!G13&lt;&gt;"",Účetní_závěrka!G13,"")</f>
        <v/>
      </c>
      <c r="Y179">
        <v>2</v>
      </c>
      <c r="Z179">
        <v>2</v>
      </c>
      <c r="AA179">
        <v>2</v>
      </c>
      <c r="AB179">
        <f t="shared" si="2"/>
        <v>1</v>
      </c>
      <c r="AC179" s="452">
        <f t="shared" si="3"/>
        <v>2</v>
      </c>
      <c r="AD179" s="453" t="str">
        <f>IF(Účetní_závěrka!E97&lt;&gt;"",Účetní_závěrka!E97,"")</f>
        <v/>
      </c>
      <c r="AE179" s="453" t="str">
        <f>IF(Účetní_závěrka!D97&lt;&gt;"",Účetní_závěrka!D97,"")</f>
        <v/>
      </c>
      <c r="AG179">
        <v>2</v>
      </c>
      <c r="AH179">
        <v>2</v>
      </c>
      <c r="AQ179">
        <f t="shared" si="4"/>
        <v>1</v>
      </c>
      <c r="AR179" s="340">
        <f t="shared" si="5"/>
        <v>2</v>
      </c>
      <c r="AS179" s="453" t="str">
        <f>IF(Účetní_závěrka!L13&lt;&gt;"",Účetní_závěrka!L13,"")</f>
        <v/>
      </c>
      <c r="AT179" s="453" t="str">
        <f>IF(Účetní_závěrka!K13&lt;&gt;"",Účetní_závěrka!K13,"")</f>
        <v/>
      </c>
      <c r="AV179">
        <v>2</v>
      </c>
      <c r="AW179">
        <v>2</v>
      </c>
      <c r="AX179">
        <v>2</v>
      </c>
    </row>
    <row r="180" spans="17:55" ht="15" hidden="1" customHeight="1">
      <c r="Q180" s="1"/>
      <c r="R180" s="345">
        <f t="shared" si="1"/>
        <v>1</v>
      </c>
      <c r="S180" s="452">
        <f t="shared" si="6"/>
        <v>3</v>
      </c>
      <c r="T180" s="453" t="str">
        <f>IF(Účetní_závěrka!D14&lt;&gt;"",Účetní_závěrka!D14,"")</f>
        <v/>
      </c>
      <c r="U180" s="453" t="str">
        <f>IF(Účetní_závěrka!E14&lt;&gt;"",ABS(Účetní_závěrka!E14),"")</f>
        <v/>
      </c>
      <c r="V180" s="453" t="str">
        <f>IF(Účetní_závěrka!F14&lt;&gt;"",Účetní_závěrka!F14,"")</f>
        <v/>
      </c>
      <c r="W180" s="453" t="str">
        <f>IF(Účetní_závěrka!G14&lt;&gt;"",Účetní_závěrka!G14,"")</f>
        <v/>
      </c>
      <c r="Y180">
        <v>3</v>
      </c>
      <c r="Z180">
        <v>3</v>
      </c>
      <c r="AA180">
        <v>3</v>
      </c>
      <c r="AB180">
        <f t="shared" si="2"/>
        <v>1</v>
      </c>
      <c r="AC180" s="452">
        <f t="shared" si="3"/>
        <v>3</v>
      </c>
      <c r="AD180" s="453" t="str">
        <f>IF(Účetní_závěrka!E98&lt;&gt;"",Účetní_závěrka!E98,"")</f>
        <v/>
      </c>
      <c r="AE180" s="453" t="str">
        <f>IF(Účetní_závěrka!D98&lt;&gt;"",Účetní_závěrka!D98,"")</f>
        <v/>
      </c>
      <c r="AG180">
        <v>3</v>
      </c>
      <c r="AH180">
        <v>3</v>
      </c>
      <c r="AQ180">
        <f t="shared" si="4"/>
        <v>1</v>
      </c>
      <c r="AR180" s="452">
        <f t="shared" si="5"/>
        <v>3</v>
      </c>
      <c r="AS180" s="453" t="str">
        <f>IF(Účetní_závěrka!L14&lt;&gt;"",Účetní_závěrka!L14,"")</f>
        <v/>
      </c>
      <c r="AT180" s="453" t="str">
        <f>IF(Účetní_závěrka!K14&lt;&gt;"",Účetní_závěrka!K14,"")</f>
        <v/>
      </c>
      <c r="AV180">
        <v>3</v>
      </c>
      <c r="AW180">
        <v>3</v>
      </c>
      <c r="AX180">
        <v>24</v>
      </c>
    </row>
    <row r="181" spans="17:55" ht="15" hidden="1" customHeight="1">
      <c r="R181">
        <f t="shared" si="1"/>
        <v>1</v>
      </c>
      <c r="S181" s="452">
        <f t="shared" si="6"/>
        <v>4</v>
      </c>
      <c r="T181" s="453" t="str">
        <f>IF(Účetní_závěrka!D15&lt;&gt;"",Účetní_závěrka!D15,"")</f>
        <v/>
      </c>
      <c r="U181" s="453" t="str">
        <f>IF(Účetní_závěrka!E15&lt;&gt;"",ABS(Účetní_závěrka!E15),"")</f>
        <v/>
      </c>
      <c r="V181" s="453" t="str">
        <f>IF(Účetní_závěrka!F15&lt;&gt;"",Účetní_závěrka!F15,"")</f>
        <v/>
      </c>
      <c r="W181" s="453" t="str">
        <f>IF(Účetní_závěrka!G15&lt;&gt;"",Účetní_závěrka!G15,"")</f>
        <v/>
      </c>
      <c r="Y181">
        <v>4</v>
      </c>
      <c r="Z181">
        <v>4</v>
      </c>
      <c r="AA181">
        <v>37</v>
      </c>
      <c r="AB181">
        <f t="shared" si="2"/>
        <v>1</v>
      </c>
      <c r="AC181" s="452">
        <f t="shared" si="3"/>
        <v>7</v>
      </c>
      <c r="AD181" s="453" t="str">
        <f>IF(Účetní_závěrka!E99&lt;&gt;"",Účetní_závěrka!E99,"")</f>
        <v/>
      </c>
      <c r="AE181" s="453" t="str">
        <f>IF(Účetní_závěrka!D99&lt;&gt;"",Účetní_závěrka!D99,"")</f>
        <v/>
      </c>
      <c r="AG181">
        <v>4</v>
      </c>
      <c r="AH181">
        <v>7</v>
      </c>
      <c r="AQ181">
        <f t="shared" si="4"/>
        <v>1</v>
      </c>
      <c r="AR181" s="452">
        <f t="shared" si="5"/>
        <v>4</v>
      </c>
      <c r="AS181" s="453" t="str">
        <f>IF(Účetní_závěrka!L15&lt;&gt;"",Účetní_závěrka!L15,"")</f>
        <v/>
      </c>
      <c r="AT181" s="453" t="str">
        <f>IF(Účetní_závěrka!K15&lt;&gt;"",Účetní_závěrka!K15,"")</f>
        <v/>
      </c>
      <c r="AV181">
        <v>4</v>
      </c>
      <c r="AW181">
        <v>7</v>
      </c>
      <c r="AX181">
        <v>25</v>
      </c>
    </row>
    <row r="182" spans="17:55" ht="15" hidden="1" customHeight="1">
      <c r="R182">
        <f t="shared" si="1"/>
        <v>1</v>
      </c>
      <c r="S182" s="452">
        <f t="shared" si="6"/>
        <v>5</v>
      </c>
      <c r="T182" s="453" t="str">
        <f>IF(Účetní_závěrka!D16&lt;&gt;"",Účetní_závěrka!D16,"")</f>
        <v/>
      </c>
      <c r="U182" s="453" t="str">
        <f>IF(Účetní_závěrka!E16&lt;&gt;"",ABS(Účetní_závěrka!E16),"")</f>
        <v/>
      </c>
      <c r="V182" s="453" t="str">
        <f>IF(Účetní_závěrka!F16&lt;&gt;"",Účetní_závěrka!F16,"")</f>
        <v/>
      </c>
      <c r="W182" s="453" t="str">
        <f>IF(Účetní_závěrka!G16&lt;&gt;"",Účetní_závěrka!G16,"")</f>
        <v/>
      </c>
      <c r="Y182">
        <v>5</v>
      </c>
      <c r="Z182">
        <v>14</v>
      </c>
      <c r="AA182">
        <v>74</v>
      </c>
      <c r="AB182">
        <f t="shared" si="2"/>
        <v>1</v>
      </c>
      <c r="AC182" s="566">
        <f t="shared" si="3"/>
        <v>8</v>
      </c>
      <c r="AD182" s="453" t="str">
        <f>IF(Účetní_závěrka!E100&lt;&gt;"",Účetní_závěrka!E100,"")</f>
        <v/>
      </c>
      <c r="AE182" s="453" t="str">
        <f>IF(Účetní_závěrka!D100&lt;&gt;"",Účetní_závěrka!D100,"")</f>
        <v/>
      </c>
      <c r="AG182">
        <v>5</v>
      </c>
      <c r="AH182">
        <v>8</v>
      </c>
      <c r="AQ182">
        <f t="shared" si="4"/>
        <v>1</v>
      </c>
      <c r="AR182" s="452">
        <f t="shared" si="5"/>
        <v>5</v>
      </c>
      <c r="AS182" s="453" t="str">
        <f>IF(Účetní_závěrka!L16&lt;&gt;"",Účetní_závěrka!L16,"")</f>
        <v/>
      </c>
      <c r="AT182" s="453" t="str">
        <f>IF(Účetní_závěrka!K16&lt;&gt;"",Účetní_závěrka!K16,"")</f>
        <v/>
      </c>
      <c r="AV182">
        <v>5</v>
      </c>
      <c r="AW182">
        <v>15</v>
      </c>
      <c r="AX182">
        <v>30</v>
      </c>
    </row>
    <row r="183" spans="17:55" ht="15" hidden="1" customHeight="1">
      <c r="R183">
        <f t="shared" si="1"/>
        <v>1</v>
      </c>
      <c r="S183" s="452">
        <f t="shared" si="6"/>
        <v>6</v>
      </c>
      <c r="T183" s="453" t="str">
        <f>IF(Účetní_závěrka!D17&lt;&gt;"",Účetní_závěrka!D17,"")</f>
        <v/>
      </c>
      <c r="U183" s="453" t="str">
        <f>IF(Účetní_závěrka!E17&lt;&gt;"",ABS(Účetní_závěrka!E17),"")</f>
        <v/>
      </c>
      <c r="V183" s="453" t="str">
        <f>IF(Účetní_závěrka!F17&lt;&gt;"",Účetní_závěrka!F17,"")</f>
        <v/>
      </c>
      <c r="W183" s="453" t="str">
        <f>IF(Účetní_závěrka!G17&lt;&gt;"",Účetní_závěrka!G17,"")</f>
        <v/>
      </c>
      <c r="Y183">
        <v>6</v>
      </c>
      <c r="Z183">
        <v>27</v>
      </c>
      <c r="AB183">
        <f t="shared" si="2"/>
        <v>1</v>
      </c>
      <c r="AC183" s="566">
        <f t="shared" si="3"/>
        <v>9</v>
      </c>
      <c r="AD183" s="453" t="str">
        <f>IF(Účetní_závěrka!E101&lt;&gt;"",Účetní_závěrka!E101,"")</f>
        <v/>
      </c>
      <c r="AE183" s="453" t="str">
        <f>IF(Účetní_závěrka!D101&lt;&gt;"",Účetní_závěrka!D101,"")</f>
        <v/>
      </c>
      <c r="AG183">
        <v>6</v>
      </c>
      <c r="AH183">
        <v>9</v>
      </c>
      <c r="AQ183">
        <f t="shared" si="4"/>
        <v>1</v>
      </c>
      <c r="AR183" s="452">
        <f t="shared" si="5"/>
        <v>6</v>
      </c>
      <c r="AS183" s="453" t="str">
        <f>IF(Účetní_závěrka!L17&lt;&gt;"",Účetní_závěrka!L17,"")</f>
        <v/>
      </c>
      <c r="AT183" s="453" t="str">
        <f>IF(Účetní_závěrka!K17&lt;&gt;"",Účetní_závěrka!K17,"")</f>
        <v/>
      </c>
      <c r="AV183">
        <v>6</v>
      </c>
      <c r="AW183">
        <v>18</v>
      </c>
      <c r="AX183">
        <v>64</v>
      </c>
    </row>
    <row r="184" spans="17:55" ht="15" hidden="1" customHeight="1">
      <c r="R184">
        <f t="shared" si="1"/>
        <v>1</v>
      </c>
      <c r="S184" s="452">
        <f t="shared" si="6"/>
        <v>7</v>
      </c>
      <c r="T184" s="453" t="str">
        <f>IF(Účetní_závěrka!D18&lt;&gt;"",Účetní_závěrka!D18,"")</f>
        <v/>
      </c>
      <c r="U184" s="453" t="str">
        <f>IF(Účetní_závěrka!E18&lt;&gt;"",ABS(Účetní_závěrka!E18),"")</f>
        <v/>
      </c>
      <c r="V184" s="453" t="str">
        <f>IF(Účetní_závěrka!F18&lt;&gt;"",Účetní_závěrka!F18,"")</f>
        <v/>
      </c>
      <c r="W184" s="453" t="str">
        <f>IF(Účetní_závěrka!G18&lt;&gt;"",Účetní_závěrka!G18,"")</f>
        <v/>
      </c>
      <c r="Y184">
        <v>7</v>
      </c>
      <c r="Z184">
        <v>37</v>
      </c>
      <c r="AB184">
        <f t="shared" si="2"/>
        <v>1</v>
      </c>
      <c r="AC184" s="566">
        <f t="shared" si="3"/>
        <v>14</v>
      </c>
      <c r="AD184" s="453" t="str">
        <f>IF(Účetní_závěrka!E102&lt;&gt;"",Účetní_závěrka!E102,"")</f>
        <v/>
      </c>
      <c r="AE184" s="453" t="str">
        <f>IF(Účetní_závěrka!D102&lt;&gt;"",Účetní_závěrka!D102,"")</f>
        <v/>
      </c>
      <c r="AG184">
        <v>7</v>
      </c>
      <c r="AH184">
        <v>14</v>
      </c>
      <c r="AQ184">
        <f t="shared" si="4"/>
        <v>1</v>
      </c>
      <c r="AR184" s="452">
        <f t="shared" si="5"/>
        <v>7</v>
      </c>
      <c r="AS184" s="453" t="str">
        <f>IF(Účetní_závěrka!L18&lt;&gt;"",Účetní_závěrka!L18,"")</f>
        <v/>
      </c>
      <c r="AT184" s="453" t="str">
        <f>IF(Účetní_závěrka!K18&lt;&gt;"",Účetní_závěrka!K18,"")</f>
        <v/>
      </c>
      <c r="AV184">
        <v>7</v>
      </c>
      <c r="AW184">
        <v>22</v>
      </c>
    </row>
    <row r="185" spans="17:55" ht="15" hidden="1" customHeight="1">
      <c r="R185">
        <f t="shared" si="1"/>
        <v>1</v>
      </c>
      <c r="S185" s="452">
        <f t="shared" si="6"/>
        <v>8</v>
      </c>
      <c r="T185" s="453" t="str">
        <f>IF(Účetní_závěrka!D19&lt;&gt;"",Účetní_závěrka!D19,"")</f>
        <v/>
      </c>
      <c r="U185" s="453" t="str">
        <f>IF(Účetní_závěrka!E19&lt;&gt;"",ABS(Účetní_závěrka!E19),"")</f>
        <v/>
      </c>
      <c r="V185" s="453" t="str">
        <f>IF(Účetní_závěrka!F19&lt;&gt;"",Účetní_závěrka!F19,"")</f>
        <v/>
      </c>
      <c r="W185" s="453" t="str">
        <f>IF(Účetní_závěrka!G19&lt;&gt;"",Účetní_závěrka!G19,"")</f>
        <v/>
      </c>
      <c r="Y185">
        <v>8</v>
      </c>
      <c r="Z185">
        <v>38</v>
      </c>
      <c r="AB185">
        <f t="shared" si="2"/>
        <v>1</v>
      </c>
      <c r="AC185" s="566">
        <f t="shared" si="3"/>
        <v>20</v>
      </c>
      <c r="AD185" s="453" t="str">
        <f>IF(Účetní_závěrka!E103&lt;&gt;"",Účetní_závěrka!E103,"")</f>
        <v/>
      </c>
      <c r="AE185" s="453" t="str">
        <f>IF(Účetní_závěrka!D103&lt;&gt;"",Účetní_závěrka!D103,"")</f>
        <v/>
      </c>
      <c r="AG185">
        <v>8</v>
      </c>
      <c r="AH185">
        <v>20</v>
      </c>
      <c r="AQ185">
        <f t="shared" si="4"/>
        <v>1</v>
      </c>
      <c r="AR185" s="452">
        <f t="shared" si="5"/>
        <v>8</v>
      </c>
      <c r="AS185" s="453" t="str">
        <f>IF(Účetní_závěrka!L19&lt;&gt;"",Účetní_závěrka!L19,"")</f>
        <v/>
      </c>
      <c r="AT185" s="453" t="str">
        <f>IF(Účetní_závěrka!K19&lt;&gt;"",Účetní_závěrka!K19,"")</f>
        <v/>
      </c>
      <c r="AV185">
        <v>8</v>
      </c>
      <c r="AW185">
        <v>23</v>
      </c>
    </row>
    <row r="186" spans="17:55" ht="15" hidden="1" customHeight="1">
      <c r="R186">
        <f t="shared" si="1"/>
        <v>1</v>
      </c>
      <c r="S186" s="452">
        <f t="shared" si="6"/>
        <v>9</v>
      </c>
      <c r="T186" s="453" t="str">
        <f>IF(Účetní_závěrka!D20&lt;&gt;"",Účetní_závěrka!D20,"")</f>
        <v/>
      </c>
      <c r="U186" s="453" t="str">
        <f>IF(Účetní_závěrka!E20&lt;&gt;"",ABS(Účetní_závěrka!E20),"")</f>
        <v/>
      </c>
      <c r="V186" s="453" t="str">
        <f>IF(Účetní_závěrka!F20&lt;&gt;"",Účetní_závěrka!F20,"")</f>
        <v/>
      </c>
      <c r="W186" s="453" t="str">
        <f>IF(Účetní_závěrka!G20&lt;&gt;"",Účetní_závěrka!G20,"")</f>
        <v/>
      </c>
      <c r="Y186">
        <v>9</v>
      </c>
      <c r="Z186">
        <v>46</v>
      </c>
      <c r="AB186">
        <f t="shared" si="2"/>
        <v>1</v>
      </c>
      <c r="AC186" s="566">
        <f t="shared" si="3"/>
        <v>24</v>
      </c>
      <c r="AD186" s="453" t="str">
        <f>IF(Účetní_závěrka!E104&lt;&gt;"",Účetní_závěrka!E104,"")</f>
        <v/>
      </c>
      <c r="AE186" s="453" t="str">
        <f>IF(Účetní_závěrka!D104&lt;&gt;"",Účetní_závěrka!D104,"")</f>
        <v/>
      </c>
      <c r="AG186">
        <v>9</v>
      </c>
      <c r="AH186">
        <v>24</v>
      </c>
      <c r="AQ186">
        <f t="shared" si="4"/>
        <v>1</v>
      </c>
      <c r="AR186" s="452">
        <f t="shared" si="5"/>
        <v>9</v>
      </c>
      <c r="AS186" s="453" t="str">
        <f>IF(Účetní_závěrka!L20&lt;&gt;"",Účetní_závěrka!L20,"")</f>
        <v/>
      </c>
      <c r="AT186" s="453" t="str">
        <f>IF(Účetní_závěrka!K20&lt;&gt;"",Účetní_závěrka!K20,"")</f>
        <v/>
      </c>
      <c r="AV186">
        <v>9</v>
      </c>
      <c r="AW186">
        <v>24</v>
      </c>
    </row>
    <row r="187" spans="17:55" ht="15" hidden="1" customHeight="1">
      <c r="R187">
        <f t="shared" si="1"/>
        <v>1</v>
      </c>
      <c r="S187" s="452">
        <f t="shared" si="6"/>
        <v>10</v>
      </c>
      <c r="T187" s="453" t="str">
        <f>IF(Účetní_závěrka!D21&lt;&gt;"",Účetní_závěrka!D21,"")</f>
        <v/>
      </c>
      <c r="U187" s="453" t="str">
        <f>IF(Účetní_závěrka!E21&lt;&gt;"",ABS(Účetní_závěrka!E21),"")</f>
        <v/>
      </c>
      <c r="V187" s="453" t="str">
        <f>IF(Účetní_závěrka!F21&lt;&gt;"",Účetní_závěrka!F21,"")</f>
        <v/>
      </c>
      <c r="W187" s="453" t="str">
        <f>IF(Účetní_závěrka!G21&lt;&gt;"",Účetní_závěrka!G21,"")</f>
        <v/>
      </c>
      <c r="Y187">
        <v>10</v>
      </c>
      <c r="Z187">
        <v>47</v>
      </c>
      <c r="AB187">
        <f t="shared" si="2"/>
        <v>1</v>
      </c>
      <c r="AC187" s="566">
        <f t="shared" si="3"/>
        <v>30</v>
      </c>
      <c r="AD187" s="453" t="str">
        <f>IF(Účetní_závěrka!E105&lt;&gt;"",Účetní_závěrka!E105,"")</f>
        <v/>
      </c>
      <c r="AE187" s="453" t="str">
        <f>IF(Účetní_závěrka!D105&lt;&gt;"",Účetní_závěrka!D105,"")</f>
        <v/>
      </c>
      <c r="AG187">
        <v>10</v>
      </c>
      <c r="AH187">
        <v>30</v>
      </c>
      <c r="AQ187">
        <f t="shared" si="4"/>
        <v>1</v>
      </c>
      <c r="AR187" s="452">
        <f t="shared" si="5"/>
        <v>10</v>
      </c>
      <c r="AS187" s="453" t="str">
        <f>IF(Účetní_závěrka!L21&lt;&gt;"",Účetní_závěrka!L21,"")</f>
        <v/>
      </c>
      <c r="AT187" s="453" t="str">
        <f>IF(Účetní_závěrka!K21&lt;&gt;"",Účetní_závěrka!K21,"")</f>
        <v/>
      </c>
      <c r="AV187">
        <v>10</v>
      </c>
      <c r="AW187">
        <v>25</v>
      </c>
    </row>
    <row r="188" spans="17:55" ht="15" hidden="1" customHeight="1">
      <c r="R188">
        <f t="shared" si="1"/>
        <v>1</v>
      </c>
      <c r="S188" s="452">
        <f t="shared" si="6"/>
        <v>11</v>
      </c>
      <c r="T188" s="453" t="str">
        <f>IF(Účetní_závěrka!D22&lt;&gt;"",Účetní_závěrka!D22,"")</f>
        <v/>
      </c>
      <c r="U188" s="453" t="str">
        <f>IF(Účetní_závěrka!E22&lt;&gt;"",ABS(Účetní_závěrka!E22),"")</f>
        <v/>
      </c>
      <c r="V188" s="453" t="str">
        <f>IF(Účetní_závěrka!F22&lt;&gt;"",Účetní_závěrka!F22,"")</f>
        <v/>
      </c>
      <c r="W188" s="453" t="str">
        <f>IF(Účetní_závěrka!G22&lt;&gt;"",Účetní_závěrka!G22,"")</f>
        <v/>
      </c>
      <c r="Y188">
        <v>11</v>
      </c>
      <c r="Z188">
        <v>57</v>
      </c>
      <c r="AB188">
        <f t="shared" si="2"/>
        <v>1</v>
      </c>
      <c r="AC188" s="566">
        <f t="shared" si="3"/>
        <v>31</v>
      </c>
      <c r="AD188" s="453" t="str">
        <f>IF(Účetní_závěrka!E106&lt;&gt;"",Účetní_závěrka!E106,"")</f>
        <v/>
      </c>
      <c r="AE188" s="453" t="str">
        <f>IF(Účetní_závěrka!D106&lt;&gt;"",Účetní_závěrka!D106,"")</f>
        <v/>
      </c>
      <c r="AG188">
        <v>11</v>
      </c>
      <c r="AH188">
        <v>31</v>
      </c>
      <c r="AQ188">
        <f t="shared" si="4"/>
        <v>1</v>
      </c>
      <c r="AR188" s="452">
        <f t="shared" si="5"/>
        <v>11</v>
      </c>
      <c r="AS188" s="453" t="str">
        <f>IF(Účetní_závěrka!L22&lt;&gt;"",Účetní_závěrka!L22,"")</f>
        <v/>
      </c>
      <c r="AT188" s="453" t="str">
        <f>IF(Účetní_závěrka!K22&lt;&gt;"",Účetní_závěrka!K22,"")</f>
        <v/>
      </c>
      <c r="AV188">
        <v>11</v>
      </c>
      <c r="AW188">
        <v>30</v>
      </c>
    </row>
    <row r="189" spans="17:55" ht="15" hidden="1" customHeight="1">
      <c r="R189">
        <f t="shared" si="1"/>
        <v>1</v>
      </c>
      <c r="S189" s="452">
        <f t="shared" si="6"/>
        <v>12</v>
      </c>
      <c r="T189" s="453" t="str">
        <f>IF(Účetní_závěrka!D23&lt;&gt;"",Účetní_závěrka!D23,"")</f>
        <v/>
      </c>
      <c r="U189" s="453" t="str">
        <f>IF(Účetní_závěrka!E23&lt;&gt;"",ABS(Účetní_závěrka!E23),"")</f>
        <v/>
      </c>
      <c r="V189" s="453" t="str">
        <f>IF(Účetní_závěrka!F23&lt;&gt;"",Účetní_závěrka!F23,"")</f>
        <v/>
      </c>
      <c r="W189" s="453" t="str">
        <f>IF(Účetní_závěrka!G23&lt;&gt;"",Účetní_závěrka!G23,"")</f>
        <v/>
      </c>
      <c r="Y189">
        <v>12</v>
      </c>
      <c r="Z189">
        <v>78</v>
      </c>
      <c r="AB189">
        <f t="shared" si="2"/>
        <v>1</v>
      </c>
      <c r="AC189" s="566">
        <f t="shared" si="3"/>
        <v>34</v>
      </c>
      <c r="AD189" s="453" t="str">
        <f>IF(Účetní_závěrka!E107&lt;&gt;"",Účetní_závěrka!E107,"")</f>
        <v/>
      </c>
      <c r="AE189" s="453" t="str">
        <f>IF(Účetní_závěrka!D107&lt;&gt;"",Účetní_závěrka!D107,"")</f>
        <v/>
      </c>
      <c r="AG189">
        <v>12</v>
      </c>
      <c r="AH189">
        <v>34</v>
      </c>
      <c r="AQ189">
        <f t="shared" si="4"/>
        <v>1</v>
      </c>
      <c r="AR189" s="452">
        <f t="shared" si="5"/>
        <v>12</v>
      </c>
      <c r="AS189" s="453" t="str">
        <f>IF(Účetní_závěrka!L23&lt;&gt;"",Účetní_závěrka!L23,"")</f>
        <v/>
      </c>
      <c r="AT189" s="453" t="str">
        <f>IF(Účetní_závěrka!K23&lt;&gt;"",Účetní_závěrka!K23,"")</f>
        <v/>
      </c>
      <c r="AV189">
        <v>12</v>
      </c>
      <c r="AW189">
        <v>31</v>
      </c>
    </row>
    <row r="190" spans="17:55" ht="15" hidden="1" customHeight="1">
      <c r="R190">
        <f t="shared" si="1"/>
        <v>1</v>
      </c>
      <c r="S190" s="452">
        <f t="shared" si="6"/>
        <v>13</v>
      </c>
      <c r="T190" s="453" t="str">
        <f>IF(Účetní_závěrka!D24&lt;&gt;"",Účetní_závěrka!D24,"")</f>
        <v/>
      </c>
      <c r="U190" s="453" t="str">
        <f>IF(Účetní_závěrka!E24&lt;&gt;"",ABS(Účetní_závěrka!E24),"")</f>
        <v/>
      </c>
      <c r="V190" s="453" t="str">
        <f>IF(Účetní_závěrka!F24&lt;&gt;"",Účetní_závěrka!F24,"")</f>
        <v/>
      </c>
      <c r="W190" s="453" t="str">
        <f>IF(Účetní_závěrka!G24&lt;&gt;"",Účetní_závěrka!G24,"")</f>
        <v/>
      </c>
      <c r="Y190">
        <v>13</v>
      </c>
      <c r="Z190">
        <v>68</v>
      </c>
      <c r="AB190">
        <f t="shared" si="2"/>
        <v>1</v>
      </c>
      <c r="AC190" s="566">
        <f t="shared" si="3"/>
        <v>35</v>
      </c>
      <c r="AD190" s="453" t="str">
        <f>IF(Účetní_závěrka!E108&lt;&gt;"",Účetní_závěrka!E108,"")</f>
        <v/>
      </c>
      <c r="AE190" s="453" t="str">
        <f>IF(Účetní_závěrka!D108&lt;&gt;"",Účetní_závěrka!D108,"")</f>
        <v/>
      </c>
      <c r="AG190">
        <v>13</v>
      </c>
      <c r="AH190">
        <v>35</v>
      </c>
      <c r="AQ190">
        <f t="shared" si="4"/>
        <v>1</v>
      </c>
      <c r="AR190" s="452">
        <f t="shared" si="5"/>
        <v>13</v>
      </c>
      <c r="AS190" s="453" t="str">
        <f>IF(Účetní_závěrka!L24&lt;&gt;"",Účetní_závěrka!L24,"")</f>
        <v/>
      </c>
      <c r="AT190" s="453" t="str">
        <f>IF(Účetní_závěrka!K24&lt;&gt;"",Účetní_závěrka!K24,"")</f>
        <v/>
      </c>
      <c r="AV190">
        <v>13</v>
      </c>
      <c r="AW190">
        <v>46</v>
      </c>
    </row>
    <row r="191" spans="17:55" ht="15" hidden="1" customHeight="1">
      <c r="R191">
        <f t="shared" si="1"/>
        <v>1</v>
      </c>
      <c r="S191" s="452">
        <f t="shared" si="6"/>
        <v>14</v>
      </c>
      <c r="T191" s="453" t="str">
        <f>IF(Účetní_závěrka!D25&lt;&gt;"",Účetní_závěrka!D25,"")</f>
        <v/>
      </c>
      <c r="U191" s="453" t="str">
        <f>IF(Účetní_závěrka!E25&lt;&gt;"",ABS(Účetní_závěrka!E25),"")</f>
        <v/>
      </c>
      <c r="V191" s="453" t="str">
        <f>IF(Účetní_závěrka!F25&lt;&gt;"",Účetní_závěrka!F25,"")</f>
        <v/>
      </c>
      <c r="W191" s="453" t="str">
        <f>IF(Účetní_závěrka!G25&lt;&gt;"",Účetní_závěrka!G25,"")</f>
        <v/>
      </c>
      <c r="Y191">
        <v>14</v>
      </c>
      <c r="Z191">
        <v>71</v>
      </c>
      <c r="AB191">
        <f t="shared" si="2"/>
        <v>1</v>
      </c>
      <c r="AC191" s="566">
        <f t="shared" si="3"/>
        <v>38</v>
      </c>
      <c r="AD191" s="453" t="str">
        <f>IF(Účetní_závěrka!E109&lt;&gt;"",Účetní_závěrka!E109,"")</f>
        <v/>
      </c>
      <c r="AE191" s="453" t="str">
        <f>IF(Účetní_závěrka!D109&lt;&gt;"",Účetní_závěrka!D109,"")</f>
        <v/>
      </c>
      <c r="AG191">
        <v>14</v>
      </c>
      <c r="AH191">
        <v>38</v>
      </c>
      <c r="AQ191">
        <f t="shared" si="4"/>
        <v>1</v>
      </c>
      <c r="AR191" s="452">
        <f t="shared" si="5"/>
        <v>14</v>
      </c>
      <c r="AS191" s="453" t="str">
        <f>IF(Účetní_závěrka!L25&lt;&gt;"",Účetní_závěrka!L25,"")</f>
        <v/>
      </c>
      <c r="AT191" s="453" t="str">
        <f>IF(Účetní_závěrka!K25&lt;&gt;"",Účetní_závěrka!K25,"")</f>
        <v/>
      </c>
      <c r="AV191">
        <v>14</v>
      </c>
      <c r="AW191">
        <v>67</v>
      </c>
    </row>
    <row r="192" spans="17:55" ht="15" hidden="1" customHeight="1">
      <c r="R192">
        <f t="shared" si="1"/>
        <v>1</v>
      </c>
      <c r="S192" s="452">
        <f t="shared" si="6"/>
        <v>15</v>
      </c>
      <c r="T192" s="453" t="str">
        <f>IF(Účetní_závěrka!D26&lt;&gt;"",Účetní_závěrka!D26,"")</f>
        <v/>
      </c>
      <c r="U192" s="453" t="str">
        <f>IF(Účetní_závěrka!E26&lt;&gt;"",ABS(Účetní_závěrka!E26),"")</f>
        <v/>
      </c>
      <c r="V192" s="453" t="str">
        <f>IF(Účetní_závěrka!F26&lt;&gt;"",Účetní_závěrka!F26,"")</f>
        <v/>
      </c>
      <c r="W192" s="453" t="str">
        <f>IF(Účetní_závěrka!G26&lt;&gt;"",Účetní_závěrka!G26,"")</f>
        <v/>
      </c>
      <c r="Y192">
        <v>15</v>
      </c>
      <c r="Z192">
        <v>74</v>
      </c>
      <c r="AB192">
        <f t="shared" si="2"/>
        <v>1</v>
      </c>
      <c r="AC192" s="566">
        <f t="shared" si="3"/>
        <v>39</v>
      </c>
      <c r="AD192" s="453" t="str">
        <f>IF(Účetní_závěrka!E110&lt;&gt;"",Účetní_závěrka!E110,"")</f>
        <v/>
      </c>
      <c r="AE192" s="453" t="str">
        <f>IF(Účetní_závěrka!D110&lt;&gt;"",Účetní_závěrka!D110,"")</f>
        <v/>
      </c>
      <c r="AG192">
        <v>15</v>
      </c>
      <c r="AH192">
        <v>39</v>
      </c>
      <c r="AQ192">
        <f t="shared" si="4"/>
        <v>1</v>
      </c>
      <c r="AR192" s="452">
        <f t="shared" si="5"/>
        <v>15</v>
      </c>
      <c r="AS192" s="453" t="str">
        <f>IF(Účetní_závěrka!L26&lt;&gt;"",Účetní_závěrka!L26,"")</f>
        <v/>
      </c>
      <c r="AT192" s="453" t="str">
        <f>IF(Účetní_závěrka!K26&lt;&gt;"",Účetní_závěrka!K26,"")</f>
        <v/>
      </c>
      <c r="AV192">
        <v>15</v>
      </c>
      <c r="AW192">
        <v>64</v>
      </c>
    </row>
    <row r="193" spans="18:49" ht="15" hidden="1" customHeight="1">
      <c r="R193">
        <f t="shared" si="1"/>
        <v>1</v>
      </c>
      <c r="S193" s="452">
        <f t="shared" si="6"/>
        <v>16</v>
      </c>
      <c r="T193" s="453" t="str">
        <f>IF(Účetní_závěrka!D27&lt;&gt;"",Účetní_závěrka!D27,"")</f>
        <v/>
      </c>
      <c r="U193" s="453" t="str">
        <f>IF(Účetní_závěrka!E27&lt;&gt;"",ABS(Účetní_závěrka!E27),"")</f>
        <v/>
      </c>
      <c r="V193" s="453" t="str">
        <f>IF(Účetní_závěrka!F27&lt;&gt;"",Účetní_závěrka!F27,"")</f>
        <v/>
      </c>
      <c r="W193" s="453" t="str">
        <f>IF(Účetní_závěrka!G27&lt;&gt;"",Účetní_závěrka!G27,"")</f>
        <v/>
      </c>
      <c r="Y193">
        <v>16</v>
      </c>
      <c r="AB193">
        <f t="shared" si="2"/>
        <v>1</v>
      </c>
      <c r="AC193" s="566">
        <f t="shared" si="3"/>
        <v>42</v>
      </c>
      <c r="AD193" s="453" t="str">
        <f>IF(Účetní_závěrka!E111&lt;&gt;"",Účetní_závěrka!E111,"")</f>
        <v/>
      </c>
      <c r="AE193" s="453" t="str">
        <f>IF(Účetní_závěrka!D111&lt;&gt;"",Účetní_závěrka!D111,"")</f>
        <v/>
      </c>
      <c r="AG193">
        <v>16</v>
      </c>
      <c r="AH193">
        <v>42</v>
      </c>
      <c r="AQ193">
        <f t="shared" si="4"/>
        <v>1</v>
      </c>
      <c r="AR193" s="452">
        <f t="shared" si="5"/>
        <v>16</v>
      </c>
      <c r="AS193" s="453" t="str">
        <f>IF(Účetní_závěrka!L27&lt;&gt;"",Účetní_závěrka!L27,"")</f>
        <v/>
      </c>
      <c r="AT193" s="453" t="str">
        <f>IF(Účetní_závěrka!K27&lt;&gt;"",Účetní_závěrka!K27,"")</f>
        <v/>
      </c>
      <c r="AV193">
        <v>16</v>
      </c>
      <c r="AW193" s="352"/>
    </row>
    <row r="194" spans="18:49" ht="15" hidden="1" customHeight="1">
      <c r="R194">
        <f t="shared" si="1"/>
        <v>1</v>
      </c>
      <c r="S194" s="452">
        <f t="shared" si="6"/>
        <v>17</v>
      </c>
      <c r="T194" s="453" t="str">
        <f>IF(Účetní_závěrka!D28&lt;&gt;"",Účetní_závěrka!D28,"")</f>
        <v/>
      </c>
      <c r="U194" s="453" t="str">
        <f>IF(Účetní_závěrka!E28&lt;&gt;"",ABS(Účetní_závěrka!E28),"")</f>
        <v/>
      </c>
      <c r="V194" s="453" t="str">
        <f>IF(Účetní_závěrka!F28&lt;&gt;"",Účetní_závěrka!F28,"")</f>
        <v/>
      </c>
      <c r="W194" s="453" t="str">
        <f>IF(Účetní_závěrka!G28&lt;&gt;"",Účetní_závěrka!G28,"")</f>
        <v/>
      </c>
      <c r="Y194">
        <v>17</v>
      </c>
      <c r="AB194">
        <f t="shared" si="2"/>
        <v>1</v>
      </c>
      <c r="AC194" s="566">
        <f t="shared" si="3"/>
        <v>43</v>
      </c>
      <c r="AD194" s="453" t="str">
        <f>IF(Účetní_závěrka!E112&lt;&gt;"",Účetní_závěrka!E112,"")</f>
        <v/>
      </c>
      <c r="AE194" s="453" t="str">
        <f>IF(Účetní_závěrka!D112&lt;&gt;"",Účetní_závěrka!D112,"")</f>
        <v/>
      </c>
      <c r="AG194">
        <v>17</v>
      </c>
      <c r="AH194">
        <v>43</v>
      </c>
      <c r="AQ194">
        <f t="shared" si="4"/>
        <v>1</v>
      </c>
      <c r="AR194" s="452">
        <f t="shared" si="5"/>
        <v>17</v>
      </c>
      <c r="AS194" s="453" t="str">
        <f>IF(Účetní_závěrka!L28&lt;&gt;"",Účetní_závěrka!L28,"")</f>
        <v/>
      </c>
      <c r="AT194" s="453" t="str">
        <f>IF(Účetní_závěrka!K28&lt;&gt;"",Účetní_závěrka!K28,"")</f>
        <v/>
      </c>
      <c r="AV194">
        <v>17</v>
      </c>
      <c r="AW194" s="352"/>
    </row>
    <row r="195" spans="18:49" ht="15" hidden="1" customHeight="1">
      <c r="R195">
        <f t="shared" si="1"/>
        <v>1</v>
      </c>
      <c r="S195" s="452">
        <f t="shared" si="6"/>
        <v>18</v>
      </c>
      <c r="T195" s="453" t="str">
        <f>IF(Účetní_závěrka!D29&lt;&gt;"",Účetní_závěrka!D29,"")</f>
        <v/>
      </c>
      <c r="U195" s="453" t="str">
        <f>IF(Účetní_závěrka!E29&lt;&gt;"",ABS(Účetní_závěrka!E29),"")</f>
        <v/>
      </c>
      <c r="V195" s="453" t="str">
        <f>IF(Účetní_závěrka!F29&lt;&gt;"",Účetní_závěrka!F29,"")</f>
        <v/>
      </c>
      <c r="W195" s="453" t="str">
        <f>IF(Účetní_závěrka!G29&lt;&gt;"",Účetní_závěrka!G29,"")</f>
        <v/>
      </c>
      <c r="Y195">
        <v>18</v>
      </c>
      <c r="AB195">
        <f t="shared" si="2"/>
        <v>1</v>
      </c>
      <c r="AC195" s="566">
        <f t="shared" si="3"/>
        <v>46</v>
      </c>
      <c r="AD195" s="453" t="str">
        <f>IF(Účetní_závěrka!E113&lt;&gt;"",Účetní_závěrka!E113,"")</f>
        <v/>
      </c>
      <c r="AE195" s="453" t="str">
        <f>IF(Účetní_závěrka!D113&lt;&gt;"",Účetní_závěrka!D113,"")</f>
        <v/>
      </c>
      <c r="AG195">
        <v>18</v>
      </c>
      <c r="AH195">
        <v>46</v>
      </c>
      <c r="AQ195">
        <f t="shared" si="4"/>
        <v>1</v>
      </c>
      <c r="AR195" s="452">
        <f t="shared" si="5"/>
        <v>18</v>
      </c>
      <c r="AS195" s="453" t="str">
        <f>IF(Účetní_závěrka!L29&lt;&gt;"",Účetní_závěrka!L29,"")</f>
        <v/>
      </c>
      <c r="AT195" s="453" t="str">
        <f>IF(Účetní_závěrka!K29&lt;&gt;"",Účetní_závěrka!K29,"")</f>
        <v/>
      </c>
      <c r="AV195">
        <v>18</v>
      </c>
      <c r="AW195" s="352"/>
    </row>
    <row r="196" spans="18:49" ht="15" hidden="1" customHeight="1">
      <c r="R196">
        <f t="shared" si="1"/>
        <v>1</v>
      </c>
      <c r="S196" s="452">
        <f t="shared" si="6"/>
        <v>19</v>
      </c>
      <c r="T196" s="453" t="str">
        <f>IF(Účetní_závěrka!D30&lt;&gt;"",Účetní_závěrka!D30,"")</f>
        <v/>
      </c>
      <c r="U196" s="453" t="str">
        <f>IF(Účetní_závěrka!E30&lt;&gt;"",ABS(Účetní_závěrka!E30),"")</f>
        <v/>
      </c>
      <c r="V196" s="453" t="str">
        <f>IF(Účetní_závěrka!F30&lt;&gt;"",Účetní_závěrka!F30,"")</f>
        <v/>
      </c>
      <c r="W196" s="453" t="str">
        <f>IF(Účetní_závěrka!G30&lt;&gt;"",Účetní_závěrka!G30,"")</f>
        <v/>
      </c>
      <c r="Y196">
        <v>19</v>
      </c>
      <c r="AB196">
        <f t="shared" si="2"/>
        <v>1</v>
      </c>
      <c r="AC196" s="566">
        <f t="shared" si="3"/>
        <v>47</v>
      </c>
      <c r="AD196" s="453" t="str">
        <f>IF(Účetní_závěrka!E114&lt;&gt;"",Účetní_závěrka!E114,"")</f>
        <v/>
      </c>
      <c r="AE196" s="453" t="str">
        <f>IF(Účetní_závěrka!D114&lt;&gt;"",Účetní_závěrka!D114,"")</f>
        <v/>
      </c>
      <c r="AG196">
        <v>19</v>
      </c>
      <c r="AH196">
        <v>47</v>
      </c>
      <c r="AQ196">
        <f t="shared" si="4"/>
        <v>1</v>
      </c>
      <c r="AR196" s="452">
        <f t="shared" si="5"/>
        <v>19</v>
      </c>
      <c r="AS196" s="453" t="str">
        <f>IF(Účetní_závěrka!L30&lt;&gt;"",Účetní_závěrka!L30,"")</f>
        <v/>
      </c>
      <c r="AT196" s="453" t="str">
        <f>IF(Účetní_závěrka!K30&lt;&gt;"",Účetní_závěrka!K30,"")</f>
        <v/>
      </c>
      <c r="AV196">
        <v>19</v>
      </c>
      <c r="AW196" s="352"/>
    </row>
    <row r="197" spans="18:49" ht="15" hidden="1" customHeight="1">
      <c r="R197">
        <f t="shared" si="1"/>
        <v>1</v>
      </c>
      <c r="S197" s="452">
        <f t="shared" si="6"/>
        <v>20</v>
      </c>
      <c r="T197" s="453" t="str">
        <f>IF(Účetní_závěrka!D31&lt;&gt;"",Účetní_závěrka!D31,"")</f>
        <v/>
      </c>
      <c r="U197" s="453" t="str">
        <f>IF(Účetní_závěrka!E31&lt;&gt;"",ABS(Účetní_závěrka!E31),"")</f>
        <v/>
      </c>
      <c r="V197" s="453" t="str">
        <f>IF(Účetní_závěrka!F31&lt;&gt;"",Účetní_závěrka!F31,"")</f>
        <v/>
      </c>
      <c r="W197" s="453" t="str">
        <f>IF(Účetní_závěrka!G31&lt;&gt;"",Účetní_závěrka!G31,"")</f>
        <v/>
      </c>
      <c r="Y197">
        <v>20</v>
      </c>
      <c r="AB197">
        <f t="shared" si="2"/>
        <v>1</v>
      </c>
      <c r="AC197" s="566">
        <f t="shared" si="3"/>
        <v>48</v>
      </c>
      <c r="AD197" s="453" t="str">
        <f>IF(Účetní_závěrka!E115&lt;&gt;"",Účetní_závěrka!E115,"")</f>
        <v/>
      </c>
      <c r="AE197" s="453" t="str">
        <f>IF(Účetní_závěrka!D115&lt;&gt;"",Účetní_závěrka!D115,"")</f>
        <v/>
      </c>
      <c r="AG197">
        <v>20</v>
      </c>
      <c r="AH197">
        <v>48</v>
      </c>
      <c r="AQ197">
        <f t="shared" si="4"/>
        <v>1</v>
      </c>
      <c r="AR197" s="452">
        <f t="shared" si="5"/>
        <v>21</v>
      </c>
      <c r="AS197" s="453" t="str">
        <f>IF(Účetní_závěrka!L31&lt;&gt;"",Účetní_závěrka!L31,"")</f>
        <v/>
      </c>
      <c r="AT197" s="453" t="str">
        <f>IF(Účetní_závěrka!K31&lt;&gt;"",Účetní_závěrka!K31,"")</f>
        <v/>
      </c>
      <c r="AV197">
        <v>21</v>
      </c>
      <c r="AW197" s="352"/>
    </row>
    <row r="198" spans="18:49" ht="15" hidden="1" customHeight="1">
      <c r="R198">
        <f t="shared" si="1"/>
        <v>1</v>
      </c>
      <c r="S198" s="452">
        <f t="shared" si="6"/>
        <v>21</v>
      </c>
      <c r="T198" s="453" t="str">
        <f>IF(Účetní_závěrka!D32&lt;&gt;"",Účetní_závěrka!D32,"")</f>
        <v/>
      </c>
      <c r="U198" s="453" t="str">
        <f>IF(Účetní_závěrka!E32&lt;&gt;"",ABS(Účetní_závěrka!E32),"")</f>
        <v/>
      </c>
      <c r="V198" s="453" t="str">
        <f>IF(Účetní_závěrka!F32&lt;&gt;"",Účetní_závěrka!F32,"")</f>
        <v/>
      </c>
      <c r="W198" s="453" t="str">
        <f>IF(Účetní_závěrka!G32&lt;&gt;"",Účetní_závěrka!G32,"")</f>
        <v/>
      </c>
      <c r="Y198">
        <v>21</v>
      </c>
      <c r="AB198">
        <f t="shared" si="2"/>
        <v>1</v>
      </c>
      <c r="AC198" s="566">
        <f t="shared" si="3"/>
        <v>49</v>
      </c>
      <c r="AD198" s="453" t="str">
        <f>IF(Účetní_závěrka!E116&lt;&gt;"",Účetní_závěrka!E116,"")</f>
        <v/>
      </c>
      <c r="AE198" s="453" t="str">
        <f>IF(Účetní_závěrka!D116&lt;&gt;"",Účetní_závěrka!D116,"")</f>
        <v/>
      </c>
      <c r="AG198">
        <v>21</v>
      </c>
      <c r="AH198">
        <v>49</v>
      </c>
      <c r="AQ198">
        <f t="shared" si="4"/>
        <v>1</v>
      </c>
      <c r="AR198" s="452">
        <f t="shared" si="5"/>
        <v>22</v>
      </c>
      <c r="AS198" s="453" t="str">
        <f>IF(Účetní_závěrka!L32&lt;&gt;"",Účetní_závěrka!L32,"")</f>
        <v/>
      </c>
      <c r="AT198" s="453" t="str">
        <f>IF(Účetní_závěrka!K32&lt;&gt;"",Účetní_závěrka!K32,"")</f>
        <v/>
      </c>
      <c r="AV198">
        <v>22</v>
      </c>
      <c r="AW198" s="352"/>
    </row>
    <row r="199" spans="18:49" ht="15" hidden="1" customHeight="1">
      <c r="R199">
        <f t="shared" si="1"/>
        <v>1</v>
      </c>
      <c r="S199" s="452">
        <f t="shared" si="6"/>
        <v>22</v>
      </c>
      <c r="T199" s="453" t="str">
        <f>IF(Účetní_závěrka!D33&lt;&gt;"",Účetní_závěrka!D33,"")</f>
        <v/>
      </c>
      <c r="U199" s="453" t="str">
        <f>IF(Účetní_závěrka!E33&lt;&gt;"",ABS(Účetní_závěrka!E33),"")</f>
        <v/>
      </c>
      <c r="V199" s="453" t="str">
        <f>IF(Účetní_závěrka!F33&lt;&gt;"",Účetní_závěrka!F33,"")</f>
        <v/>
      </c>
      <c r="W199" s="453" t="str">
        <f>IF(Účetní_závěrka!G33&lt;&gt;"",Účetní_závěrka!G33,"")</f>
        <v/>
      </c>
      <c r="Y199">
        <v>22</v>
      </c>
      <c r="AB199">
        <f t="shared" si="2"/>
        <v>1</v>
      </c>
      <c r="AC199" s="566">
        <f t="shared" si="3"/>
        <v>50</v>
      </c>
      <c r="AD199" s="453" t="str">
        <f>IF(Účetní_závěrka!E117&lt;&gt;"",Účetní_závěrka!E117,"")</f>
        <v/>
      </c>
      <c r="AE199" s="453" t="str">
        <f>IF(Účetní_závěrka!D117&lt;&gt;"",Účetní_závěrka!D117,"")</f>
        <v/>
      </c>
      <c r="AG199">
        <v>22</v>
      </c>
      <c r="AH199">
        <v>50</v>
      </c>
      <c r="AQ199">
        <f t="shared" si="4"/>
        <v>1</v>
      </c>
      <c r="AR199" s="452">
        <f t="shared" si="5"/>
        <v>23</v>
      </c>
      <c r="AS199" s="453" t="str">
        <f>IF(Účetní_závěrka!L33&lt;&gt;"",Účetní_závěrka!L33,"")</f>
        <v/>
      </c>
      <c r="AT199" s="453" t="str">
        <f>IF(Účetní_závěrka!K33&lt;&gt;"",Účetní_závěrka!K33,"")</f>
        <v/>
      </c>
      <c r="AV199">
        <v>23</v>
      </c>
      <c r="AW199" s="352"/>
    </row>
    <row r="200" spans="18:49" ht="15" hidden="1" customHeight="1">
      <c r="R200">
        <f t="shared" si="1"/>
        <v>1</v>
      </c>
      <c r="S200" s="452">
        <f t="shared" si="6"/>
        <v>23</v>
      </c>
      <c r="T200" s="453" t="str">
        <f>IF(Účetní_závěrka!D34&lt;&gt;"",Účetní_závěrka!D34,"")</f>
        <v/>
      </c>
      <c r="U200" s="453" t="str">
        <f>IF(Účetní_závěrka!E34&lt;&gt;"",ABS(Účetní_závěrka!E34),"")</f>
        <v/>
      </c>
      <c r="V200" s="453" t="str">
        <f>IF(Účetní_závěrka!F34&lt;&gt;"",Účetní_závěrka!F34,"")</f>
        <v/>
      </c>
      <c r="W200" s="453" t="str">
        <f>IF(Účetní_závěrka!G34&lt;&gt;"",Účetní_závěrka!G34,"")</f>
        <v/>
      </c>
      <c r="Y200">
        <v>23</v>
      </c>
      <c r="AB200">
        <f t="shared" si="2"/>
        <v>1</v>
      </c>
      <c r="AC200" s="566">
        <f t="shared" si="3"/>
        <v>53</v>
      </c>
      <c r="AD200" s="453" t="str">
        <f>IF(Účetní_závěrka!E118&lt;&gt;"",Účetní_závěrka!E118,"")</f>
        <v/>
      </c>
      <c r="AE200" s="453" t="str">
        <f>IF(Účetní_závěrka!D118&lt;&gt;"",Účetní_závěrka!D118,"")</f>
        <v/>
      </c>
      <c r="AG200">
        <v>23</v>
      </c>
      <c r="AH200">
        <v>53</v>
      </c>
      <c r="AQ200">
        <f t="shared" si="4"/>
        <v>1</v>
      </c>
      <c r="AR200" s="452">
        <f t="shared" si="5"/>
        <v>24</v>
      </c>
      <c r="AS200" s="453" t="str">
        <f>IF(Účetní_závěrka!L34&lt;&gt;"",Účetní_závěrka!L34,"")</f>
        <v/>
      </c>
      <c r="AT200" s="453" t="str">
        <f>IF(Účetní_závěrka!K34&lt;&gt;"",Účetní_závěrka!K34,"")</f>
        <v/>
      </c>
      <c r="AV200">
        <v>24</v>
      </c>
      <c r="AW200" s="352"/>
    </row>
    <row r="201" spans="18:49" ht="15" hidden="1" customHeight="1">
      <c r="R201">
        <f t="shared" si="1"/>
        <v>1</v>
      </c>
      <c r="S201" s="452">
        <f t="shared" si="6"/>
        <v>24</v>
      </c>
      <c r="T201" s="453" t="str">
        <f>IF(Účetní_závěrka!D35&lt;&gt;"",Účetní_závěrka!D35,"")</f>
        <v/>
      </c>
      <c r="U201" s="453" t="str">
        <f>IF(Účetní_závěrka!E35&lt;&gt;"",ABS(Účetní_závěrka!E35),"")</f>
        <v/>
      </c>
      <c r="V201" s="453" t="str">
        <f>IF(Účetní_závěrka!F35&lt;&gt;"",Účetní_závěrka!F35,"")</f>
        <v/>
      </c>
      <c r="W201" s="453" t="str">
        <f>IF(Účetní_závěrka!G35&lt;&gt;"",Účetní_závěrka!G35,"")</f>
        <v/>
      </c>
      <c r="Y201">
        <v>24</v>
      </c>
      <c r="AB201">
        <f t="shared" si="2"/>
        <v>1</v>
      </c>
      <c r="AC201" s="566">
        <f t="shared" si="3"/>
        <v>54</v>
      </c>
      <c r="AD201" s="453" t="str">
        <f>IF(Účetní_závěrka!E119&lt;&gt;"",Účetní_závěrka!E119,"")</f>
        <v/>
      </c>
      <c r="AE201" s="453" t="str">
        <f>IF(Účetní_závěrka!D119&lt;&gt;"",Účetní_závěrka!D119,"")</f>
        <v/>
      </c>
      <c r="AG201">
        <v>24</v>
      </c>
      <c r="AH201">
        <v>54</v>
      </c>
      <c r="AQ201">
        <f t="shared" si="4"/>
        <v>1</v>
      </c>
      <c r="AR201" s="452">
        <f t="shared" si="5"/>
        <v>25</v>
      </c>
      <c r="AS201" s="453" t="str">
        <f>IF(Účetní_závěrka!L35&lt;&gt;"",Účetní_závěrka!L35,"")</f>
        <v/>
      </c>
      <c r="AT201" s="453" t="str">
        <f>IF(Účetní_závěrka!K35&lt;&gt;"",Účetní_závěrka!K35,"")</f>
        <v/>
      </c>
      <c r="AV201">
        <v>25</v>
      </c>
      <c r="AW201" s="352"/>
    </row>
    <row r="202" spans="18:49" ht="15" hidden="1" customHeight="1">
      <c r="R202">
        <f t="shared" si="1"/>
        <v>1</v>
      </c>
      <c r="S202" s="452">
        <f t="shared" si="6"/>
        <v>25</v>
      </c>
      <c r="T202" s="453" t="str">
        <f>IF(Účetní_závěrka!D36&lt;&gt;"",Účetní_závěrka!D36,"")</f>
        <v/>
      </c>
      <c r="U202" s="453" t="str">
        <f>IF(Účetní_závěrka!E36&lt;&gt;"",ABS(Účetní_závěrka!E36),"")</f>
        <v/>
      </c>
      <c r="V202" s="453" t="str">
        <f>IF(Účetní_závěrka!F36&lt;&gt;"",Účetní_závěrka!F36,"")</f>
        <v/>
      </c>
      <c r="W202" s="453" t="str">
        <f>IF(Účetní_závěrka!G36&lt;&gt;"",Účetní_závěrka!G36,"")</f>
        <v/>
      </c>
      <c r="Y202">
        <v>25</v>
      </c>
      <c r="AB202">
        <f t="shared" si="2"/>
        <v>1</v>
      </c>
      <c r="AC202" s="566">
        <f t="shared" si="3"/>
        <v>55</v>
      </c>
      <c r="AD202" s="453" t="str">
        <f>IF(Účetní_závěrka!E120&lt;&gt;"",Účetní_závěrka!E120,"")</f>
        <v/>
      </c>
      <c r="AE202" s="453" t="str">
        <f>IF(Účetní_závěrka!D120&lt;&gt;"",Účetní_závěrka!D120,"")</f>
        <v/>
      </c>
      <c r="AG202">
        <v>25</v>
      </c>
      <c r="AH202">
        <v>55</v>
      </c>
      <c r="AQ202">
        <f t="shared" si="4"/>
        <v>1</v>
      </c>
      <c r="AR202" s="452">
        <f t="shared" si="5"/>
        <v>26</v>
      </c>
      <c r="AS202" s="453" t="str">
        <f>IF(Účetní_závěrka!L36&lt;&gt;"",Účetní_závěrka!L36,"")</f>
        <v/>
      </c>
      <c r="AT202" s="453" t="str">
        <f>IF(Účetní_závěrka!K36&lt;&gt;"",Účetní_závěrka!K36,"")</f>
        <v/>
      </c>
      <c r="AV202">
        <v>26</v>
      </c>
      <c r="AW202" s="352"/>
    </row>
    <row r="203" spans="18:49" ht="15" hidden="1" customHeight="1">
      <c r="R203">
        <f t="shared" si="1"/>
        <v>1</v>
      </c>
      <c r="S203" s="452">
        <f t="shared" si="6"/>
        <v>26</v>
      </c>
      <c r="T203" s="453" t="str">
        <f>IF(Účetní_závěrka!D37&lt;&gt;"",Účetní_závěrka!D37,"")</f>
        <v/>
      </c>
      <c r="U203" s="453" t="str">
        <f>IF(Účetní_závěrka!E37&lt;&gt;"",ABS(Účetní_závěrka!E37),"")</f>
        <v/>
      </c>
      <c r="V203" s="453" t="str">
        <f>IF(Účetní_závěrka!F37&lt;&gt;"",Účetní_závěrka!F37,"")</f>
        <v/>
      </c>
      <c r="W203" s="453" t="str">
        <f>IF(Účetní_závěrka!G37&lt;&gt;"",Účetní_závěrka!G37,"")</f>
        <v/>
      </c>
      <c r="Y203">
        <v>26</v>
      </c>
      <c r="AB203">
        <f t="shared" si="2"/>
        <v>1</v>
      </c>
      <c r="AC203" s="566">
        <f t="shared" si="3"/>
        <v>56</v>
      </c>
      <c r="AD203" s="453" t="str">
        <f>IF(Účetní_závěrka!E121&lt;&gt;"",Účetní_závěrka!E121,"")</f>
        <v/>
      </c>
      <c r="AE203" s="453" t="str">
        <f>IF(Účetní_závěrka!D121&lt;&gt;"",Účetní_závěrka!D121,"")</f>
        <v/>
      </c>
      <c r="AG203">
        <v>26</v>
      </c>
      <c r="AH203">
        <v>56</v>
      </c>
      <c r="AQ203">
        <f t="shared" si="4"/>
        <v>1</v>
      </c>
      <c r="AR203" s="452">
        <f t="shared" si="5"/>
        <v>27</v>
      </c>
      <c r="AS203" s="453" t="str">
        <f>IF(Účetní_závěrka!L37&lt;&gt;"",Účetní_závěrka!L37,"")</f>
        <v/>
      </c>
      <c r="AT203" s="453" t="str">
        <f>IF(Účetní_závěrka!K37&lt;&gt;"",Účetní_závěrka!K37,"")</f>
        <v/>
      </c>
      <c r="AV203">
        <v>27</v>
      </c>
      <c r="AW203" s="352"/>
    </row>
    <row r="204" spans="18:49" ht="15" hidden="1" customHeight="1">
      <c r="R204">
        <f t="shared" si="1"/>
        <v>1</v>
      </c>
      <c r="S204" s="452">
        <f t="shared" si="6"/>
        <v>27</v>
      </c>
      <c r="T204" s="453" t="str">
        <f>IF(Účetní_závěrka!D38&lt;&gt;"",Účetní_závěrka!D38,"")</f>
        <v/>
      </c>
      <c r="U204" s="453" t="str">
        <f>IF(Účetní_závěrka!E38&lt;&gt;"",ABS(Účetní_závěrka!E38),"")</f>
        <v/>
      </c>
      <c r="V204" s="453" t="str">
        <f>IF(Účetní_závěrka!F38&lt;&gt;"",Účetní_závěrka!F38,"")</f>
        <v/>
      </c>
      <c r="W204" s="453" t="str">
        <f>IF(Účetní_závěrka!G38&lt;&gt;"",Účetní_závěrka!G38,"")</f>
        <v/>
      </c>
      <c r="Y204">
        <v>27</v>
      </c>
      <c r="AB204">
        <f t="shared" si="2"/>
        <v>1</v>
      </c>
      <c r="AC204" s="566" t="str">
        <f t="shared" si="3"/>
        <v/>
      </c>
      <c r="AD204" s="453" t="str">
        <f>IF(Účetní_závěrka!E122&lt;&gt;"",Účetní_závěrka!E122,"")</f>
        <v/>
      </c>
      <c r="AE204" s="453" t="str">
        <f>IF(Účetní_závěrka!D122&lt;&gt;"",Účetní_závěrka!D122,"")</f>
        <v/>
      </c>
      <c r="AG204">
        <v>27</v>
      </c>
      <c r="AQ204">
        <f t="shared" si="4"/>
        <v>1</v>
      </c>
      <c r="AR204" s="452">
        <f t="shared" si="5"/>
        <v>28</v>
      </c>
      <c r="AS204" s="453" t="str">
        <f>IF(Účetní_závěrka!L38&lt;&gt;"",Účetní_závěrka!L38,"")</f>
        <v/>
      </c>
      <c r="AT204" s="453" t="str">
        <f>IF(Účetní_závěrka!K38&lt;&gt;"",Účetní_závěrka!K38,"")</f>
        <v/>
      </c>
      <c r="AV204">
        <v>28</v>
      </c>
      <c r="AW204" s="352"/>
    </row>
    <row r="205" spans="18:49" ht="15" hidden="1" customHeight="1">
      <c r="R205">
        <f t="shared" si="1"/>
        <v>1</v>
      </c>
      <c r="S205" s="452">
        <f t="shared" si="6"/>
        <v>28</v>
      </c>
      <c r="T205" s="453" t="str">
        <f>IF(Účetní_závěrka!D39&lt;&gt;"",Účetní_závěrka!D39,"")</f>
        <v/>
      </c>
      <c r="U205" s="453" t="str">
        <f>IF(Účetní_závěrka!E39&lt;&gt;"",ABS(Účetní_závěrka!E39),"")</f>
        <v/>
      </c>
      <c r="V205" s="453" t="str">
        <f>IF(Účetní_závěrka!F39&lt;&gt;"",Účetní_závěrka!F39,"")</f>
        <v/>
      </c>
      <c r="W205" s="453" t="str">
        <f>IF(Účetní_závěrka!G39&lt;&gt;"",Účetní_závěrka!G39,"")</f>
        <v/>
      </c>
      <c r="Y205">
        <v>28</v>
      </c>
      <c r="AB205">
        <f t="shared" si="2"/>
        <v>1</v>
      </c>
      <c r="AC205" s="566" t="str">
        <f t="shared" si="3"/>
        <v/>
      </c>
      <c r="AD205" s="453" t="str">
        <f>IF(Účetní_závěrka!E123&lt;&gt;"",Účetní_závěrka!E123,"")</f>
        <v/>
      </c>
      <c r="AE205" s="453" t="str">
        <f>IF(Účetní_závěrka!D123&lt;&gt;"",Účetní_závěrka!D123,"")</f>
        <v/>
      </c>
      <c r="AG205">
        <v>28</v>
      </c>
      <c r="AQ205">
        <f t="shared" si="4"/>
        <v>1</v>
      </c>
      <c r="AR205" s="452">
        <f t="shared" si="5"/>
        <v>29</v>
      </c>
      <c r="AS205" s="453" t="str">
        <f>IF(Účetní_závěrka!L39&lt;&gt;"",Účetní_závěrka!L39,"")</f>
        <v/>
      </c>
      <c r="AT205" s="453" t="str">
        <f>IF(Účetní_závěrka!K39&lt;&gt;"",Účetní_závěrka!K39,"")</f>
        <v/>
      </c>
      <c r="AV205">
        <v>29</v>
      </c>
      <c r="AW205" s="352"/>
    </row>
    <row r="206" spans="18:49" ht="15" hidden="1" customHeight="1">
      <c r="R206">
        <f t="shared" si="1"/>
        <v>1</v>
      </c>
      <c r="S206" s="452">
        <f t="shared" si="6"/>
        <v>29</v>
      </c>
      <c r="T206" s="453" t="str">
        <f>IF(Účetní_závěrka!D40&lt;&gt;"",Účetní_závěrka!D40,"")</f>
        <v/>
      </c>
      <c r="U206" s="453" t="str">
        <f>IF(Účetní_závěrka!E40&lt;&gt;"",ABS(Účetní_závěrka!E40),"")</f>
        <v/>
      </c>
      <c r="V206" s="453" t="str">
        <f>IF(Účetní_závěrka!F40&lt;&gt;"",Účetní_závěrka!F40,"")</f>
        <v/>
      </c>
      <c r="W206" s="453" t="str">
        <f>IF(Účetní_závěrka!G40&lt;&gt;"",Účetní_závěrka!G40,"")</f>
        <v/>
      </c>
      <c r="Y206">
        <v>29</v>
      </c>
      <c r="AB206">
        <f t="shared" si="2"/>
        <v>1</v>
      </c>
      <c r="AC206" s="566" t="str">
        <f t="shared" si="3"/>
        <v/>
      </c>
      <c r="AD206" s="453" t="str">
        <f>IF(Účetní_závěrka!E124&lt;&gt;"",Účetní_závěrka!E124,"")</f>
        <v/>
      </c>
      <c r="AE206" s="453" t="str">
        <f>IF(Účetní_závěrka!D124&lt;&gt;"",Účetní_závěrka!D124,"")</f>
        <v/>
      </c>
      <c r="AG206">
        <v>29</v>
      </c>
      <c r="AQ206">
        <f t="shared" si="4"/>
        <v>1</v>
      </c>
      <c r="AR206" s="452">
        <f t="shared" si="5"/>
        <v>30</v>
      </c>
      <c r="AS206" s="453" t="str">
        <f>IF(Účetní_závěrka!L40&lt;&gt;"",Účetní_závěrka!L40,"")</f>
        <v/>
      </c>
      <c r="AT206" s="453" t="str">
        <f>IF(Účetní_závěrka!K40&lt;&gt;"",Účetní_závěrka!K40,"")</f>
        <v/>
      </c>
      <c r="AV206">
        <v>30</v>
      </c>
      <c r="AW206" s="352"/>
    </row>
    <row r="207" spans="18:49" ht="15" hidden="1" customHeight="1">
      <c r="R207">
        <f t="shared" si="1"/>
        <v>1</v>
      </c>
      <c r="S207" s="452">
        <f t="shared" si="6"/>
        <v>30</v>
      </c>
      <c r="T207" s="453" t="str">
        <f>IF(Účetní_závěrka!D41&lt;&gt;"",Účetní_závěrka!D41,"")</f>
        <v/>
      </c>
      <c r="U207" s="453" t="str">
        <f>IF(Účetní_závěrka!E41&lt;&gt;"",ABS(Účetní_závěrka!E41),"")</f>
        <v/>
      </c>
      <c r="V207" s="453" t="str">
        <f>IF(Účetní_závěrka!F41&lt;&gt;"",Účetní_závěrka!F41,"")</f>
        <v/>
      </c>
      <c r="W207" s="453" t="str">
        <f>IF(Účetní_závěrka!G41&lt;&gt;"",Účetní_závěrka!G41,"")</f>
        <v/>
      </c>
      <c r="Y207">
        <v>30</v>
      </c>
      <c r="AB207">
        <f t="shared" si="2"/>
        <v>1</v>
      </c>
      <c r="AC207" s="566" t="str">
        <f t="shared" si="3"/>
        <v/>
      </c>
      <c r="AD207" s="453" t="str">
        <f>IF(Účetní_závěrka!E125&lt;&gt;"",Účetní_závěrka!E125,"")</f>
        <v/>
      </c>
      <c r="AE207" s="453" t="str">
        <f>IF(Účetní_závěrka!D125&lt;&gt;"",Účetní_závěrka!D125,"")</f>
        <v/>
      </c>
      <c r="AG207">
        <v>30</v>
      </c>
      <c r="AQ207">
        <f t="shared" si="4"/>
        <v>1</v>
      </c>
      <c r="AR207" s="452">
        <f t="shared" si="5"/>
        <v>31</v>
      </c>
      <c r="AS207" s="453" t="str">
        <f>IF(Účetní_závěrka!L41&lt;&gt;"",Účetní_závěrka!L41,"")</f>
        <v/>
      </c>
      <c r="AT207" s="453" t="str">
        <f>IF(Účetní_závěrka!K41&lt;&gt;"",Účetní_závěrka!K41,"")</f>
        <v/>
      </c>
      <c r="AV207">
        <v>31</v>
      </c>
      <c r="AW207" s="352"/>
    </row>
    <row r="208" spans="18:49" ht="15" hidden="1" customHeight="1">
      <c r="R208">
        <f t="shared" si="1"/>
        <v>1</v>
      </c>
      <c r="S208" s="452">
        <f t="shared" si="6"/>
        <v>31</v>
      </c>
      <c r="T208" s="453" t="str">
        <f>IF(Účetní_závěrka!D42&lt;&gt;"",Účetní_závěrka!D42,"")</f>
        <v/>
      </c>
      <c r="U208" s="453" t="str">
        <f>IF(Účetní_závěrka!E42&lt;&gt;"",ABS(Účetní_závěrka!E42),"")</f>
        <v/>
      </c>
      <c r="V208" s="453" t="str">
        <f>IF(Účetní_závěrka!F42&lt;&gt;"",Účetní_závěrka!F42,"")</f>
        <v/>
      </c>
      <c r="W208" s="453" t="str">
        <f>IF(Účetní_závěrka!G42&lt;&gt;"",Účetní_závěrka!G42,"")</f>
        <v/>
      </c>
      <c r="Y208">
        <v>31</v>
      </c>
      <c r="AB208">
        <f t="shared" si="2"/>
        <v>1</v>
      </c>
      <c r="AC208" s="566" t="str">
        <f t="shared" si="3"/>
        <v/>
      </c>
      <c r="AD208" s="453" t="str">
        <f>IF(Účetní_závěrka!E126&lt;&gt;"",Účetní_závěrka!E126,"")</f>
        <v/>
      </c>
      <c r="AE208" s="453" t="str">
        <f>IF(Účetní_závěrka!D126&lt;&gt;"",Účetní_závěrka!D126,"")</f>
        <v/>
      </c>
      <c r="AG208">
        <v>31</v>
      </c>
      <c r="AQ208">
        <f t="shared" si="4"/>
        <v>1</v>
      </c>
      <c r="AR208" s="452">
        <f t="shared" si="5"/>
        <v>32</v>
      </c>
      <c r="AS208" s="453" t="str">
        <f>IF(Účetní_závěrka!L42&lt;&gt;"",Účetní_závěrka!L42,"")</f>
        <v/>
      </c>
      <c r="AT208" s="453" t="str">
        <f>IF(Účetní_závěrka!K42&lt;&gt;"",Účetní_závěrka!K42,"")</f>
        <v/>
      </c>
      <c r="AV208">
        <v>32</v>
      </c>
      <c r="AW208" s="352"/>
    </row>
    <row r="209" spans="18:49" ht="15" hidden="1" customHeight="1">
      <c r="R209">
        <f t="shared" si="1"/>
        <v>1</v>
      </c>
      <c r="S209" s="452">
        <f t="shared" si="6"/>
        <v>32</v>
      </c>
      <c r="T209" s="453" t="str">
        <f>IF(Účetní_závěrka!D43&lt;&gt;"",Účetní_závěrka!D43,"")</f>
        <v/>
      </c>
      <c r="U209" s="453" t="str">
        <f>IF(Účetní_závěrka!E43&lt;&gt;"",ABS(Účetní_závěrka!E43),"")</f>
        <v/>
      </c>
      <c r="V209" s="453" t="str">
        <f>IF(Účetní_závěrka!F43&lt;&gt;"",Účetní_závěrka!F43,"")</f>
        <v/>
      </c>
      <c r="W209" s="453" t="str">
        <f>IF(Účetní_závěrka!G43&lt;&gt;"",Účetní_závěrka!G43,"")</f>
        <v/>
      </c>
      <c r="Y209">
        <v>32</v>
      </c>
      <c r="AB209">
        <f t="shared" si="2"/>
        <v>1</v>
      </c>
      <c r="AC209" s="566" t="str">
        <f t="shared" si="3"/>
        <v/>
      </c>
      <c r="AD209" s="453" t="str">
        <f>IF(Účetní_závěrka!E127&lt;&gt;"",Účetní_závěrka!E127,"")</f>
        <v/>
      </c>
      <c r="AE209" s="453" t="str">
        <f>IF(Účetní_závěrka!D127&lt;&gt;"",Účetní_závěrka!D127,"")</f>
        <v/>
      </c>
      <c r="AG209">
        <v>32</v>
      </c>
      <c r="AQ209">
        <f t="shared" si="4"/>
        <v>1</v>
      </c>
      <c r="AR209" s="452">
        <f t="shared" si="5"/>
        <v>33</v>
      </c>
      <c r="AS209" s="453" t="str">
        <f>IF(Účetní_závěrka!L43&lt;&gt;"",Účetní_závěrka!L43,"")</f>
        <v/>
      </c>
      <c r="AT209" s="453" t="str">
        <f>IF(Účetní_závěrka!K43&lt;&gt;"",Účetní_závěrka!K43,"")</f>
        <v/>
      </c>
      <c r="AV209">
        <v>33</v>
      </c>
      <c r="AW209" s="352"/>
    </row>
    <row r="210" spans="18:49" ht="15" hidden="1" customHeight="1">
      <c r="R210">
        <f t="shared" ref="R210:R243" si="7">$Q$178</f>
        <v>1</v>
      </c>
      <c r="S210" s="452">
        <f t="shared" si="6"/>
        <v>33</v>
      </c>
      <c r="T210" s="453" t="str">
        <f>IF(Účetní_závěrka!D44&lt;&gt;"",Účetní_závěrka!D44,"")</f>
        <v/>
      </c>
      <c r="U210" s="453" t="str">
        <f>IF(Účetní_závěrka!E44&lt;&gt;"",ABS(Účetní_závěrka!E44),"")</f>
        <v/>
      </c>
      <c r="V210" s="453" t="str">
        <f>IF(Účetní_závěrka!F44&lt;&gt;"",Účetní_závěrka!F44,"")</f>
        <v/>
      </c>
      <c r="W210" s="453" t="str">
        <f>IF(Účetní_závěrka!G44&lt;&gt;"",Účetní_závěrka!G44,"")</f>
        <v/>
      </c>
      <c r="Y210">
        <v>33</v>
      </c>
      <c r="AB210">
        <f t="shared" ref="AB210:AB233" si="8">$AB$176</f>
        <v>1</v>
      </c>
      <c r="AC210" s="566" t="str">
        <f t="shared" ref="AC210:AC233" si="9">IF($B$38="P",AG210,IF(AH210&lt;&gt;"",AH210,""))</f>
        <v/>
      </c>
      <c r="AD210" s="453" t="str">
        <f>IF(Účetní_závěrka!E128&lt;&gt;"",Účetní_závěrka!E128,"")</f>
        <v/>
      </c>
      <c r="AE210" s="453" t="str">
        <f>IF(Účetní_závěrka!D128&lt;&gt;"",Účetní_závěrka!D128,"")</f>
        <v/>
      </c>
      <c r="AG210">
        <v>33</v>
      </c>
      <c r="AQ210">
        <f t="shared" ref="AQ210:AQ235" si="10">$AP$178</f>
        <v>1</v>
      </c>
      <c r="AR210" s="452">
        <f t="shared" si="5"/>
        <v>34</v>
      </c>
      <c r="AS210" s="453" t="str">
        <f>IF(Účetní_závěrka!L44&lt;&gt;"",Účetní_závěrka!L44,"")</f>
        <v/>
      </c>
      <c r="AT210" s="453" t="str">
        <f>IF(Účetní_závěrka!K44&lt;&gt;"",Účetní_závěrka!K44,"")</f>
        <v/>
      </c>
      <c r="AV210">
        <v>34</v>
      </c>
      <c r="AW210" s="352"/>
    </row>
    <row r="211" spans="18:49" ht="15" hidden="1" customHeight="1">
      <c r="R211">
        <f t="shared" si="7"/>
        <v>1</v>
      </c>
      <c r="S211" s="452">
        <f t="shared" si="6"/>
        <v>34</v>
      </c>
      <c r="T211" s="453" t="str">
        <f>IF(Účetní_závěrka!D45&lt;&gt;"",Účetní_závěrka!D45,"")</f>
        <v/>
      </c>
      <c r="U211" s="453" t="str">
        <f>IF(Účetní_závěrka!E45&lt;&gt;"",ABS(Účetní_závěrka!E45),"")</f>
        <v/>
      </c>
      <c r="V211" s="453" t="str">
        <f>IF(Účetní_závěrka!F45&lt;&gt;"",Účetní_závěrka!F45,"")</f>
        <v/>
      </c>
      <c r="W211" s="453" t="str">
        <f>IF(Účetní_závěrka!G45&lt;&gt;"",Účetní_závěrka!G45,"")</f>
        <v/>
      </c>
      <c r="Y211">
        <v>34</v>
      </c>
      <c r="AB211">
        <f t="shared" si="8"/>
        <v>1</v>
      </c>
      <c r="AC211" s="566" t="str">
        <f t="shared" si="9"/>
        <v/>
      </c>
      <c r="AD211" s="453" t="str">
        <f>IF(Účetní_závěrka!E129&lt;&gt;"",Účetní_závěrka!E129,"")</f>
        <v/>
      </c>
      <c r="AE211" s="453" t="str">
        <f>IF(Účetní_závěrka!D129&lt;&gt;"",Účetní_závěrka!D129,"")</f>
        <v/>
      </c>
      <c r="AG211">
        <v>34</v>
      </c>
      <c r="AQ211">
        <f t="shared" si="10"/>
        <v>1</v>
      </c>
      <c r="AR211" s="452">
        <f t="shared" si="5"/>
        <v>35</v>
      </c>
      <c r="AS211" s="453" t="str">
        <f>IF(Účetní_závěrka!L45&lt;&gt;"",Účetní_závěrka!L45,"")</f>
        <v/>
      </c>
      <c r="AT211" s="453" t="str">
        <f>IF(Účetní_závěrka!K45&lt;&gt;"",Účetní_závěrka!K45,"")</f>
        <v/>
      </c>
      <c r="AV211">
        <v>35</v>
      </c>
      <c r="AW211" s="352"/>
    </row>
    <row r="212" spans="18:49" ht="15" hidden="1" customHeight="1">
      <c r="R212">
        <f t="shared" si="7"/>
        <v>1</v>
      </c>
      <c r="S212" s="452">
        <f t="shared" si="6"/>
        <v>35</v>
      </c>
      <c r="T212" s="453" t="str">
        <f>IF(Účetní_závěrka!D46&lt;&gt;"",Účetní_závěrka!D46,"")</f>
        <v/>
      </c>
      <c r="U212" s="453" t="str">
        <f>IF(Účetní_závěrka!E46&lt;&gt;"",ABS(Účetní_závěrka!E46),"")</f>
        <v/>
      </c>
      <c r="V212" s="453" t="str">
        <f>IF(Účetní_závěrka!F46&lt;&gt;"",Účetní_závěrka!F46,"")</f>
        <v/>
      </c>
      <c r="W212" s="453" t="str">
        <f>IF(Účetní_závěrka!G46&lt;&gt;"",Účetní_závěrka!G46,"")</f>
        <v/>
      </c>
      <c r="Y212">
        <v>35</v>
      </c>
      <c r="AB212">
        <f t="shared" si="8"/>
        <v>1</v>
      </c>
      <c r="AC212" s="566" t="str">
        <f t="shared" si="9"/>
        <v/>
      </c>
      <c r="AD212" s="453" t="str">
        <f>IF(Účetní_závěrka!E130&lt;&gt;"",Účetní_závěrka!E130,"")</f>
        <v/>
      </c>
      <c r="AE212" s="453" t="str">
        <f>IF(Účetní_závěrka!D130&lt;&gt;"",Účetní_závěrka!D130,"")</f>
        <v/>
      </c>
      <c r="AG212">
        <v>35</v>
      </c>
      <c r="AQ212">
        <f t="shared" si="10"/>
        <v>1</v>
      </c>
      <c r="AR212" s="452">
        <f t="shared" si="5"/>
        <v>36</v>
      </c>
      <c r="AS212" s="453" t="str">
        <f>IF(Účetní_závěrka!L46&lt;&gt;"",Účetní_závěrka!L46,"")</f>
        <v/>
      </c>
      <c r="AT212" s="453" t="str">
        <f>IF(Účetní_závěrka!K46&lt;&gt;"",Účetní_závěrka!K46,"")</f>
        <v/>
      </c>
      <c r="AV212">
        <v>36</v>
      </c>
      <c r="AW212" s="352"/>
    </row>
    <row r="213" spans="18:49" ht="15" hidden="1" customHeight="1">
      <c r="R213">
        <f t="shared" si="7"/>
        <v>1</v>
      </c>
      <c r="S213" s="452">
        <f t="shared" si="6"/>
        <v>36</v>
      </c>
      <c r="T213" s="453" t="str">
        <f>IF(Účetní_závěrka!D47&lt;&gt;"",Účetní_závěrka!D47,"")</f>
        <v/>
      </c>
      <c r="U213" s="453" t="str">
        <f>IF(Účetní_závěrka!E47&lt;&gt;"",ABS(Účetní_závěrka!E47),"")</f>
        <v/>
      </c>
      <c r="V213" s="453" t="str">
        <f>IF(Účetní_závěrka!F47&lt;&gt;"",Účetní_závěrka!F47,"")</f>
        <v/>
      </c>
      <c r="W213" s="453" t="str">
        <f>IF(Účetní_závěrka!G47&lt;&gt;"",Účetní_závěrka!G47,"")</f>
        <v/>
      </c>
      <c r="Y213">
        <v>36</v>
      </c>
      <c r="AB213">
        <f t="shared" si="8"/>
        <v>1</v>
      </c>
      <c r="AC213" s="566" t="str">
        <f t="shared" si="9"/>
        <v/>
      </c>
      <c r="AD213" s="453" t="str">
        <f>IF(Účetní_závěrka!E131&lt;&gt;"",Účetní_závěrka!E131,"")</f>
        <v/>
      </c>
      <c r="AE213" s="453" t="str">
        <f>IF(Účetní_závěrka!D131&lt;&gt;"",Účetní_závěrka!D131,"")</f>
        <v/>
      </c>
      <c r="AG213">
        <v>36</v>
      </c>
      <c r="AQ213">
        <f t="shared" si="10"/>
        <v>1</v>
      </c>
      <c r="AR213" s="452">
        <f t="shared" si="5"/>
        <v>37</v>
      </c>
      <c r="AS213" s="453" t="str">
        <f>IF(Účetní_závěrka!L47&lt;&gt;"",Účetní_závěrka!L47,"")</f>
        <v/>
      </c>
      <c r="AT213" s="453" t="str">
        <f>IF(Účetní_závěrka!K47&lt;&gt;"",Účetní_závěrka!K47,"")</f>
        <v/>
      </c>
      <c r="AV213">
        <v>37</v>
      </c>
      <c r="AW213" s="352"/>
    </row>
    <row r="214" spans="18:49" ht="15" hidden="1" customHeight="1">
      <c r="R214">
        <f t="shared" si="7"/>
        <v>1</v>
      </c>
      <c r="S214" s="452">
        <f t="shared" si="6"/>
        <v>37</v>
      </c>
      <c r="T214" s="453" t="str">
        <f>IF(Účetní_závěrka!D48&lt;&gt;"",Účetní_závěrka!D48,"")</f>
        <v/>
      </c>
      <c r="U214" s="453" t="str">
        <f>IF(Účetní_závěrka!E48&lt;&gt;"",ABS(Účetní_závěrka!E48),"")</f>
        <v/>
      </c>
      <c r="V214" s="453" t="str">
        <f>IF(Účetní_závěrka!F48&lt;&gt;"",Účetní_závěrka!F48,"")</f>
        <v/>
      </c>
      <c r="W214" s="453" t="str">
        <f>IF(Účetní_závěrka!G48&lt;&gt;"",Účetní_závěrka!G48,"")</f>
        <v/>
      </c>
      <c r="Y214">
        <v>37</v>
      </c>
      <c r="AB214">
        <f t="shared" si="8"/>
        <v>1</v>
      </c>
      <c r="AC214" s="566" t="str">
        <f t="shared" si="9"/>
        <v/>
      </c>
      <c r="AD214" s="453" t="str">
        <f>IF(Účetní_závěrka!E132&lt;&gt;"",Účetní_závěrka!E132,"")</f>
        <v/>
      </c>
      <c r="AE214" s="453" t="str">
        <f>IF(Účetní_závěrka!D132&lt;&gt;"",Účetní_závěrka!D132,"")</f>
        <v/>
      </c>
      <c r="AG214">
        <v>37</v>
      </c>
      <c r="AQ214">
        <f t="shared" si="10"/>
        <v>1</v>
      </c>
      <c r="AR214" s="452">
        <f t="shared" si="5"/>
        <v>38</v>
      </c>
      <c r="AS214" s="453" t="str">
        <f>IF(Účetní_závěrka!L48&lt;&gt;"",Účetní_závěrka!L48,"")</f>
        <v/>
      </c>
      <c r="AT214" s="453" t="str">
        <f>IF(Účetní_závěrka!K48&lt;&gt;"",Účetní_závěrka!K48,"")</f>
        <v/>
      </c>
      <c r="AV214">
        <v>38</v>
      </c>
      <c r="AW214" s="352"/>
    </row>
    <row r="215" spans="18:49" ht="15" hidden="1" customHeight="1">
      <c r="R215">
        <f t="shared" si="7"/>
        <v>1</v>
      </c>
      <c r="S215" s="452">
        <f t="shared" si="6"/>
        <v>38</v>
      </c>
      <c r="T215" s="453" t="str">
        <f>IF(Účetní_závěrka!D49&lt;&gt;"",Účetní_závěrka!D49,"")</f>
        <v/>
      </c>
      <c r="U215" s="453" t="str">
        <f>IF(Účetní_závěrka!E49&lt;&gt;"",ABS(Účetní_závěrka!E49),"")</f>
        <v/>
      </c>
      <c r="V215" s="453" t="str">
        <f>IF(Účetní_závěrka!F49&lt;&gt;"",Účetní_závěrka!F49,"")</f>
        <v/>
      </c>
      <c r="W215" s="453" t="str">
        <f>IF(Účetní_závěrka!G49&lt;&gt;"",Účetní_závěrka!G49,"")</f>
        <v/>
      </c>
      <c r="Y215">
        <v>38</v>
      </c>
      <c r="AB215">
        <f t="shared" si="8"/>
        <v>1</v>
      </c>
      <c r="AC215" s="566" t="str">
        <f t="shared" si="9"/>
        <v/>
      </c>
      <c r="AD215" s="453" t="str">
        <f>IF(Účetní_závěrka!E133&lt;&gt;"",Účetní_závěrka!E133,"")</f>
        <v/>
      </c>
      <c r="AE215" s="453" t="str">
        <f>IF(Účetní_závěrka!D133&lt;&gt;"",Účetní_závěrka!D133,"")</f>
        <v/>
      </c>
      <c r="AG215">
        <v>38</v>
      </c>
      <c r="AQ215">
        <f t="shared" si="10"/>
        <v>1</v>
      </c>
      <c r="AR215" s="452">
        <f t="shared" si="5"/>
        <v>39</v>
      </c>
      <c r="AS215" s="453" t="str">
        <f>IF(Účetní_závěrka!L49&lt;&gt;"",Účetní_závěrka!L49,"")</f>
        <v/>
      </c>
      <c r="AT215" s="453" t="str">
        <f>IF(Účetní_závěrka!K49&lt;&gt;"",Účetní_závěrka!K49,"")</f>
        <v/>
      </c>
      <c r="AV215">
        <v>39</v>
      </c>
      <c r="AW215" s="352"/>
    </row>
    <row r="216" spans="18:49" ht="15" hidden="1" customHeight="1">
      <c r="R216">
        <f t="shared" si="7"/>
        <v>1</v>
      </c>
      <c r="S216" s="452">
        <f t="shared" si="6"/>
        <v>39</v>
      </c>
      <c r="T216" s="453" t="str">
        <f>IF(Účetní_závěrka!D50&lt;&gt;"",Účetní_závěrka!D50,"")</f>
        <v/>
      </c>
      <c r="U216" s="453" t="str">
        <f>IF(Účetní_závěrka!E50&lt;&gt;"",ABS(Účetní_závěrka!E50),"")</f>
        <v/>
      </c>
      <c r="V216" s="453" t="str">
        <f>IF(Účetní_závěrka!F50&lt;&gt;"",Účetní_závěrka!F50,"")</f>
        <v/>
      </c>
      <c r="W216" s="453" t="str">
        <f>IF(Účetní_závěrka!G50&lt;&gt;"",Účetní_závěrka!G50,"")</f>
        <v/>
      </c>
      <c r="Y216">
        <v>39</v>
      </c>
      <c r="AB216">
        <f t="shared" si="8"/>
        <v>1</v>
      </c>
      <c r="AC216" s="566" t="str">
        <f t="shared" si="9"/>
        <v/>
      </c>
      <c r="AD216" s="453" t="str">
        <f>IF(Účetní_závěrka!E134&lt;&gt;"",Účetní_závěrka!E134,"")</f>
        <v/>
      </c>
      <c r="AE216" s="453" t="str">
        <f>IF(Účetní_závěrka!D134&lt;&gt;"",Účetní_závěrka!D134,"")</f>
        <v/>
      </c>
      <c r="AG216">
        <v>39</v>
      </c>
      <c r="AQ216">
        <f t="shared" si="10"/>
        <v>1</v>
      </c>
      <c r="AR216" s="452">
        <f t="shared" si="5"/>
        <v>40</v>
      </c>
      <c r="AS216" s="453" t="str">
        <f>IF(Účetní_závěrka!L50&lt;&gt;"",Účetní_závěrka!L50,"")</f>
        <v/>
      </c>
      <c r="AT216" s="453" t="str">
        <f>IF(Účetní_závěrka!K50&lt;&gt;"",Účetní_závěrka!K50,"")</f>
        <v/>
      </c>
      <c r="AV216">
        <v>40</v>
      </c>
      <c r="AW216" s="352"/>
    </row>
    <row r="217" spans="18:49" ht="15" hidden="1" customHeight="1">
      <c r="R217">
        <f t="shared" si="7"/>
        <v>1</v>
      </c>
      <c r="S217" s="452">
        <f t="shared" si="6"/>
        <v>40</v>
      </c>
      <c r="T217" s="453" t="str">
        <f>IF(Účetní_závěrka!D51&lt;&gt;"",Účetní_závěrka!D51,"")</f>
        <v/>
      </c>
      <c r="U217" s="453" t="str">
        <f>IF(Účetní_závěrka!E51&lt;&gt;"",ABS(Účetní_závěrka!E51),"")</f>
        <v/>
      </c>
      <c r="V217" s="453" t="str">
        <f>IF(Účetní_závěrka!F51&lt;&gt;"",Účetní_závěrka!F51,"")</f>
        <v/>
      </c>
      <c r="W217" s="453" t="str">
        <f>IF(Účetní_závěrka!G51&lt;&gt;"",Účetní_závěrka!G51,"")</f>
        <v/>
      </c>
      <c r="Y217">
        <v>40</v>
      </c>
      <c r="AB217">
        <f t="shared" si="8"/>
        <v>1</v>
      </c>
      <c r="AC217" s="566" t="str">
        <f t="shared" si="9"/>
        <v/>
      </c>
      <c r="AD217" s="453" t="str">
        <f>IF(Účetní_závěrka!E135&lt;&gt;"",Účetní_závěrka!E135,"")</f>
        <v/>
      </c>
      <c r="AE217" s="453" t="str">
        <f>IF(Účetní_závěrka!D135&lt;&gt;"",Účetní_závěrka!D135,"")</f>
        <v/>
      </c>
      <c r="AG217">
        <v>40</v>
      </c>
      <c r="AQ217">
        <f t="shared" si="10"/>
        <v>1</v>
      </c>
      <c r="AR217" s="452">
        <f t="shared" si="5"/>
        <v>41</v>
      </c>
      <c r="AS217" s="453" t="str">
        <f>IF(Účetní_závěrka!L51&lt;&gt;"",Účetní_závěrka!L51,"")</f>
        <v/>
      </c>
      <c r="AT217" s="453" t="str">
        <f>IF(Účetní_závěrka!K51&lt;&gt;"",Účetní_závěrka!K51,"")</f>
        <v/>
      </c>
      <c r="AV217">
        <v>41</v>
      </c>
      <c r="AW217" s="352"/>
    </row>
    <row r="218" spans="18:49" ht="15" hidden="1" customHeight="1">
      <c r="R218">
        <f t="shared" si="7"/>
        <v>1</v>
      </c>
      <c r="S218" s="452">
        <f t="shared" si="6"/>
        <v>41</v>
      </c>
      <c r="T218" s="453" t="str">
        <f>IF(Účetní_závěrka!D52&lt;&gt;"",Účetní_závěrka!D52,"")</f>
        <v/>
      </c>
      <c r="U218" s="453" t="str">
        <f>IF(Účetní_závěrka!E52&lt;&gt;"",ABS(Účetní_závěrka!E52),"")</f>
        <v/>
      </c>
      <c r="V218" s="453" t="str">
        <f>IF(Účetní_závěrka!F52&lt;&gt;"",Účetní_závěrka!F52,"")</f>
        <v/>
      </c>
      <c r="W218" s="453" t="str">
        <f>IF(Účetní_závěrka!G52&lt;&gt;"",Účetní_závěrka!G52,"")</f>
        <v/>
      </c>
      <c r="Y218">
        <v>41</v>
      </c>
      <c r="AB218">
        <f t="shared" si="8"/>
        <v>1</v>
      </c>
      <c r="AC218" s="566" t="str">
        <f t="shared" si="9"/>
        <v/>
      </c>
      <c r="AD218" s="453" t="str">
        <f>IF(Účetní_závěrka!E136&lt;&gt;"",Účetní_závěrka!E136,"")</f>
        <v/>
      </c>
      <c r="AE218" s="453" t="str">
        <f>IF(Účetní_závěrka!D136&lt;&gt;"",Účetní_závěrka!D136,"")</f>
        <v/>
      </c>
      <c r="AF218" s="284"/>
      <c r="AG218">
        <v>41</v>
      </c>
      <c r="AQ218">
        <f t="shared" si="10"/>
        <v>1</v>
      </c>
      <c r="AR218" s="452">
        <f t="shared" si="5"/>
        <v>42</v>
      </c>
      <c r="AS218" s="453" t="str">
        <f>IF(Účetní_závěrka!L52&lt;&gt;"",Účetní_závěrka!L52,"")</f>
        <v/>
      </c>
      <c r="AT218" s="453" t="str">
        <f>IF(Účetní_závěrka!K52&lt;&gt;"",Účetní_závěrka!K52,"")</f>
        <v/>
      </c>
      <c r="AV218">
        <v>42</v>
      </c>
      <c r="AW218" s="352"/>
    </row>
    <row r="219" spans="18:49" ht="15" hidden="1" customHeight="1">
      <c r="R219">
        <f t="shared" si="7"/>
        <v>1</v>
      </c>
      <c r="S219" s="452">
        <f t="shared" si="6"/>
        <v>42</v>
      </c>
      <c r="T219" s="453" t="str">
        <f>IF(Účetní_závěrka!D53&lt;&gt;"",Účetní_závěrka!D53,"")</f>
        <v/>
      </c>
      <c r="U219" s="453" t="str">
        <f>IF(Účetní_závěrka!E53&lt;&gt;"",ABS(Účetní_závěrka!E53),"")</f>
        <v/>
      </c>
      <c r="V219" s="453" t="str">
        <f>IF(Účetní_závěrka!F53&lt;&gt;"",Účetní_závěrka!F53,"")</f>
        <v/>
      </c>
      <c r="W219" s="453" t="str">
        <f>IF(Účetní_závěrka!G53&lt;&gt;"",Účetní_závěrka!G53,"")</f>
        <v/>
      </c>
      <c r="Y219">
        <v>42</v>
      </c>
      <c r="AB219">
        <f t="shared" si="8"/>
        <v>1</v>
      </c>
      <c r="AC219" s="566" t="str">
        <f t="shared" si="9"/>
        <v/>
      </c>
      <c r="AD219" s="453" t="str">
        <f>IF(Účetní_závěrka!E137&lt;&gt;"",Účetní_závěrka!E137,"")</f>
        <v/>
      </c>
      <c r="AE219" s="453" t="str">
        <f>IF(Účetní_závěrka!D137&lt;&gt;"",Účetní_závěrka!D137,"")</f>
        <v/>
      </c>
      <c r="AF219" s="352"/>
      <c r="AG219">
        <v>42</v>
      </c>
      <c r="AQ219">
        <f t="shared" si="10"/>
        <v>1</v>
      </c>
      <c r="AR219" s="452">
        <f t="shared" si="5"/>
        <v>43</v>
      </c>
      <c r="AS219" s="453" t="str">
        <f>IF(Účetní_závěrka!L53&lt;&gt;"",Účetní_závěrka!L53,"")</f>
        <v/>
      </c>
      <c r="AT219" s="453" t="str">
        <f>IF(Účetní_závěrka!K53&lt;&gt;"",Účetní_závěrka!K53,"")</f>
        <v/>
      </c>
      <c r="AV219">
        <v>43</v>
      </c>
      <c r="AW219" s="352"/>
    </row>
    <row r="220" spans="18:49" ht="15" hidden="1" customHeight="1">
      <c r="R220">
        <f t="shared" si="7"/>
        <v>1</v>
      </c>
      <c r="S220" s="452">
        <f t="shared" si="6"/>
        <v>43</v>
      </c>
      <c r="T220" s="453" t="str">
        <f>IF(Účetní_závěrka!D54&lt;&gt;"",Účetní_závěrka!D54,"")</f>
        <v/>
      </c>
      <c r="U220" s="453" t="str">
        <f>IF(Účetní_závěrka!E54&lt;&gt;"",ABS(Účetní_závěrka!E54),"")</f>
        <v/>
      </c>
      <c r="V220" s="453" t="str">
        <f>IF(Účetní_závěrka!F54&lt;&gt;"",Účetní_závěrka!F54,"")</f>
        <v/>
      </c>
      <c r="W220" s="453" t="str">
        <f>IF(Účetní_závěrka!G54&lt;&gt;"",Účetní_závěrka!G54,"")</f>
        <v/>
      </c>
      <c r="Y220">
        <v>43</v>
      </c>
      <c r="AB220">
        <f t="shared" si="8"/>
        <v>1</v>
      </c>
      <c r="AC220" s="566" t="str">
        <f t="shared" si="9"/>
        <v/>
      </c>
      <c r="AD220" s="453" t="str">
        <f>IF(Účetní_závěrka!E138&lt;&gt;"",Účetní_závěrka!E138,"")</f>
        <v/>
      </c>
      <c r="AE220" s="453" t="str">
        <f>IF(Účetní_závěrka!D138&lt;&gt;"",Účetní_závěrka!D138,"")</f>
        <v/>
      </c>
      <c r="AF220" s="352"/>
      <c r="AG220">
        <v>43</v>
      </c>
      <c r="AQ220">
        <f t="shared" si="10"/>
        <v>1</v>
      </c>
      <c r="AR220" s="452">
        <f t="shared" si="5"/>
        <v>44</v>
      </c>
      <c r="AS220" s="453" t="str">
        <f>IF(Účetní_závěrka!L54&lt;&gt;"",Účetní_závěrka!L54,"")</f>
        <v/>
      </c>
      <c r="AT220" s="453" t="str">
        <f>IF(Účetní_závěrka!K54&lt;&gt;"",Účetní_závěrka!K54,"")</f>
        <v/>
      </c>
      <c r="AV220">
        <v>44</v>
      </c>
      <c r="AW220" s="352"/>
    </row>
    <row r="221" spans="18:49" ht="15" hidden="1" customHeight="1">
      <c r="R221">
        <f t="shared" si="7"/>
        <v>1</v>
      </c>
      <c r="S221" s="452">
        <f t="shared" si="6"/>
        <v>44</v>
      </c>
      <c r="T221" s="453" t="str">
        <f>IF(Účetní_závěrka!D55&lt;&gt;"",Účetní_závěrka!D55,"")</f>
        <v/>
      </c>
      <c r="U221" s="453" t="str">
        <f>IF(Účetní_závěrka!E55&lt;&gt;"",ABS(Účetní_závěrka!E55),"")</f>
        <v/>
      </c>
      <c r="V221" s="453" t="str">
        <f>IF(Účetní_závěrka!F55&lt;&gt;"",Účetní_závěrka!F55,"")</f>
        <v/>
      </c>
      <c r="W221" s="453" t="str">
        <f>IF(Účetní_závěrka!G55&lt;&gt;"",Účetní_závěrka!G55,"")</f>
        <v/>
      </c>
      <c r="Y221">
        <v>44</v>
      </c>
      <c r="AB221">
        <f t="shared" si="8"/>
        <v>1</v>
      </c>
      <c r="AC221" s="566" t="str">
        <f t="shared" si="9"/>
        <v/>
      </c>
      <c r="AD221" s="453" t="str">
        <f>IF(Účetní_závěrka!E139&lt;&gt;"",Účetní_závěrka!E139,"")</f>
        <v/>
      </c>
      <c r="AE221" s="453" t="str">
        <f>IF(Účetní_závěrka!D139&lt;&gt;"",Účetní_závěrka!D139,"")</f>
        <v/>
      </c>
      <c r="AF221" s="352"/>
      <c r="AG221">
        <v>44</v>
      </c>
      <c r="AQ221">
        <f t="shared" si="10"/>
        <v>1</v>
      </c>
      <c r="AR221" s="452">
        <f t="shared" si="5"/>
        <v>45</v>
      </c>
      <c r="AS221" s="453" t="str">
        <f>IF(Účetní_závěrka!L55&lt;&gt;"",Účetní_závěrka!L55,"")</f>
        <v/>
      </c>
      <c r="AT221" s="453" t="str">
        <f>IF(Účetní_závěrka!K55&lt;&gt;"",Účetní_závěrka!K55,"")</f>
        <v/>
      </c>
      <c r="AV221">
        <v>45</v>
      </c>
      <c r="AW221" s="352"/>
    </row>
    <row r="222" spans="18:49" ht="15" hidden="1" customHeight="1">
      <c r="R222">
        <f t="shared" si="7"/>
        <v>1</v>
      </c>
      <c r="S222" s="452">
        <f t="shared" si="6"/>
        <v>45</v>
      </c>
      <c r="T222" s="453" t="str">
        <f>IF(Účetní_závěrka!D56&lt;&gt;"",Účetní_závěrka!D56,"")</f>
        <v/>
      </c>
      <c r="U222" s="453" t="str">
        <f>IF(Účetní_závěrka!E56&lt;&gt;"",ABS(Účetní_závěrka!E56),"")</f>
        <v/>
      </c>
      <c r="V222" s="453" t="str">
        <f>IF(Účetní_závěrka!F56&lt;&gt;"",Účetní_závěrka!F56,"")</f>
        <v/>
      </c>
      <c r="W222" s="453" t="str">
        <f>IF(Účetní_závěrka!G56&lt;&gt;"",Účetní_závěrka!G56,"")</f>
        <v/>
      </c>
      <c r="Y222">
        <v>45</v>
      </c>
      <c r="AB222">
        <f t="shared" si="8"/>
        <v>1</v>
      </c>
      <c r="AC222" s="566" t="str">
        <f t="shared" si="9"/>
        <v/>
      </c>
      <c r="AD222" s="453" t="str">
        <f>IF(Účetní_závěrka!E140&lt;&gt;"",Účetní_závěrka!E140,"")</f>
        <v/>
      </c>
      <c r="AE222" s="453" t="str">
        <f>IF(Účetní_závěrka!D140&lt;&gt;"",Účetní_závěrka!D140,"")</f>
        <v/>
      </c>
      <c r="AF222" s="352"/>
      <c r="AG222">
        <v>45</v>
      </c>
      <c r="AQ222">
        <f t="shared" si="10"/>
        <v>1</v>
      </c>
      <c r="AR222" s="452">
        <f t="shared" si="5"/>
        <v>46</v>
      </c>
      <c r="AS222" s="453" t="str">
        <f>IF(Účetní_závěrka!L56&lt;&gt;"",Účetní_závěrka!L56,"")</f>
        <v/>
      </c>
      <c r="AT222" s="453" t="str">
        <f>IF(Účetní_závěrka!K56&lt;&gt;"",Účetní_závěrka!K56,"")</f>
        <v/>
      </c>
      <c r="AV222">
        <v>46</v>
      </c>
      <c r="AW222" s="352"/>
    </row>
    <row r="223" spans="18:49" ht="15" hidden="1" customHeight="1">
      <c r="R223">
        <f t="shared" si="7"/>
        <v>1</v>
      </c>
      <c r="S223" s="452">
        <f t="shared" si="6"/>
        <v>46</v>
      </c>
      <c r="T223" s="453" t="str">
        <f>IF(Účetní_závěrka!D57&lt;&gt;"",Účetní_závěrka!D57,"")</f>
        <v/>
      </c>
      <c r="U223" s="453" t="str">
        <f>IF(Účetní_závěrka!E57&lt;&gt;"",ABS(Účetní_závěrka!E57),"")</f>
        <v/>
      </c>
      <c r="V223" s="453" t="str">
        <f>IF(Účetní_závěrka!F57&lt;&gt;"",Účetní_závěrka!F57,"")</f>
        <v/>
      </c>
      <c r="W223" s="453" t="str">
        <f>IF(Účetní_závěrka!G57&lt;&gt;"",Účetní_závěrka!G57,"")</f>
        <v/>
      </c>
      <c r="Y223">
        <v>46</v>
      </c>
      <c r="AB223">
        <f t="shared" si="8"/>
        <v>1</v>
      </c>
      <c r="AC223" s="566" t="str">
        <f t="shared" si="9"/>
        <v/>
      </c>
      <c r="AD223" s="453" t="str">
        <f>IF(Účetní_závěrka!E141&lt;&gt;"",Účetní_závěrka!E141,"")</f>
        <v/>
      </c>
      <c r="AE223" s="453" t="str">
        <f>IF(Účetní_závěrka!D141&lt;&gt;"",Účetní_závěrka!D141,"")</f>
        <v/>
      </c>
      <c r="AF223" s="352"/>
      <c r="AG223">
        <v>46</v>
      </c>
      <c r="AQ223">
        <f t="shared" si="10"/>
        <v>1</v>
      </c>
      <c r="AR223" s="452">
        <f t="shared" si="5"/>
        <v>47</v>
      </c>
      <c r="AS223" s="453" t="str">
        <f>IF(Účetní_závěrka!L57&lt;&gt;"",Účetní_závěrka!L57,"")</f>
        <v/>
      </c>
      <c r="AT223" s="453" t="str">
        <f>IF(Účetní_závěrka!K57&lt;&gt;"",Účetní_závěrka!K57,"")</f>
        <v/>
      </c>
      <c r="AV223">
        <v>47</v>
      </c>
      <c r="AW223" s="352"/>
    </row>
    <row r="224" spans="18:49" ht="15" hidden="1" customHeight="1">
      <c r="R224">
        <f t="shared" si="7"/>
        <v>1</v>
      </c>
      <c r="S224" s="452">
        <f t="shared" si="6"/>
        <v>47</v>
      </c>
      <c r="T224" s="453" t="str">
        <f>IF(Účetní_závěrka!D58&lt;&gt;"",Účetní_závěrka!D58,"")</f>
        <v/>
      </c>
      <c r="U224" s="453" t="str">
        <f>IF(Účetní_závěrka!E58&lt;&gt;"",ABS(Účetní_závěrka!E58),"")</f>
        <v/>
      </c>
      <c r="V224" s="453" t="str">
        <f>IF(Účetní_závěrka!F58&lt;&gt;"",Účetní_závěrka!F58,"")</f>
        <v/>
      </c>
      <c r="W224" s="453" t="str">
        <f>IF(Účetní_závěrka!G58&lt;&gt;"",Účetní_závěrka!G58,"")</f>
        <v/>
      </c>
      <c r="Y224">
        <v>47</v>
      </c>
      <c r="AB224">
        <f t="shared" si="8"/>
        <v>1</v>
      </c>
      <c r="AC224" s="566" t="str">
        <f t="shared" si="9"/>
        <v/>
      </c>
      <c r="AD224" s="453" t="str">
        <f>IF(Účetní_závěrka!E142&lt;&gt;"",Účetní_závěrka!E142,"")</f>
        <v/>
      </c>
      <c r="AE224" s="453" t="str">
        <f>IF(Účetní_závěrka!D142&lt;&gt;"",Účetní_závěrka!D142,"")</f>
        <v/>
      </c>
      <c r="AF224" s="352"/>
      <c r="AG224">
        <v>47</v>
      </c>
      <c r="AQ224">
        <f t="shared" si="10"/>
        <v>1</v>
      </c>
      <c r="AR224" s="452">
        <f t="shared" si="5"/>
        <v>48</v>
      </c>
      <c r="AS224" s="453" t="str">
        <f>IF(Účetní_závěrka!L58&lt;&gt;"",Účetní_závěrka!L58,"")</f>
        <v/>
      </c>
      <c r="AT224" s="453" t="str">
        <f>IF(Účetní_závěrka!K58&lt;&gt;"",Účetní_závěrka!K58,"")</f>
        <v/>
      </c>
      <c r="AV224">
        <v>48</v>
      </c>
      <c r="AW224" s="352"/>
    </row>
    <row r="225" spans="18:49" ht="15" hidden="1" customHeight="1">
      <c r="R225">
        <f t="shared" si="7"/>
        <v>1</v>
      </c>
      <c r="S225" s="452">
        <f t="shared" si="6"/>
        <v>48</v>
      </c>
      <c r="T225" s="453" t="str">
        <f>IF(Účetní_závěrka!D59&lt;&gt;"",Účetní_závěrka!D59,"")</f>
        <v/>
      </c>
      <c r="U225" s="453" t="str">
        <f>IF(Účetní_závěrka!E59&lt;&gt;"",ABS(Účetní_závěrka!E59),"")</f>
        <v/>
      </c>
      <c r="V225" s="453" t="str">
        <f>IF(Účetní_závěrka!F59&lt;&gt;"",Účetní_závěrka!F59,"")</f>
        <v/>
      </c>
      <c r="W225" s="453" t="str">
        <f>IF(Účetní_závěrka!G59&lt;&gt;"",Účetní_závěrka!G59,"")</f>
        <v/>
      </c>
      <c r="Y225">
        <v>48</v>
      </c>
      <c r="AB225">
        <f t="shared" si="8"/>
        <v>1</v>
      </c>
      <c r="AC225" s="566" t="str">
        <f t="shared" si="9"/>
        <v/>
      </c>
      <c r="AD225" s="453" t="str">
        <f>IF(Účetní_závěrka!E143&lt;&gt;"",Účetní_závěrka!E143,"")</f>
        <v/>
      </c>
      <c r="AE225" s="453" t="str">
        <f>IF(Účetní_závěrka!D143&lt;&gt;"",Účetní_závěrka!D143,"")</f>
        <v/>
      </c>
      <c r="AF225" s="352"/>
      <c r="AG225">
        <v>48</v>
      </c>
      <c r="AQ225">
        <f t="shared" si="10"/>
        <v>1</v>
      </c>
      <c r="AR225" s="452">
        <f t="shared" si="5"/>
        <v>49</v>
      </c>
      <c r="AS225" s="453" t="str">
        <f>IF(Účetní_závěrka!L59&lt;&gt;"",Účetní_závěrka!L59,"")</f>
        <v/>
      </c>
      <c r="AT225" s="453" t="str">
        <f>IF(Účetní_závěrka!K59&lt;&gt;"",Účetní_závěrka!K59,"")</f>
        <v/>
      </c>
      <c r="AV225">
        <v>49</v>
      </c>
      <c r="AW225" s="352"/>
    </row>
    <row r="226" spans="18:49" ht="15" hidden="1" customHeight="1">
      <c r="R226">
        <f t="shared" si="7"/>
        <v>1</v>
      </c>
      <c r="S226" s="452">
        <f t="shared" si="6"/>
        <v>49</v>
      </c>
      <c r="T226" s="453" t="str">
        <f>IF(Účetní_závěrka!D60&lt;&gt;"",Účetní_závěrka!D60,"")</f>
        <v/>
      </c>
      <c r="U226" s="453" t="str">
        <f>IF(Účetní_závěrka!E60&lt;&gt;"",ABS(Účetní_závěrka!E60),"")</f>
        <v/>
      </c>
      <c r="V226" s="453" t="str">
        <f>IF(Účetní_závěrka!F60&lt;&gt;"",Účetní_závěrka!F60,"")</f>
        <v/>
      </c>
      <c r="W226" s="453" t="str">
        <f>IF(Účetní_závěrka!G60&lt;&gt;"",Účetní_závěrka!G60,"")</f>
        <v/>
      </c>
      <c r="Y226">
        <v>49</v>
      </c>
      <c r="AB226">
        <f t="shared" si="8"/>
        <v>1</v>
      </c>
      <c r="AC226" s="566" t="str">
        <f t="shared" si="9"/>
        <v/>
      </c>
      <c r="AD226" s="453" t="str">
        <f>IF(Účetní_závěrka!E144&lt;&gt;"",Účetní_závěrka!E144,"")</f>
        <v/>
      </c>
      <c r="AE226" s="453" t="str">
        <f>IF(Účetní_závěrka!D144&lt;&gt;"",Účetní_závěrka!D144,"")</f>
        <v/>
      </c>
      <c r="AF226" s="352"/>
      <c r="AG226">
        <v>49</v>
      </c>
      <c r="AQ226">
        <f t="shared" si="10"/>
        <v>1</v>
      </c>
      <c r="AR226" s="452">
        <f t="shared" si="5"/>
        <v>50</v>
      </c>
      <c r="AS226" s="453" t="str">
        <f>IF(Účetní_závěrka!L60&lt;&gt;"",Účetní_závěrka!L60,"")</f>
        <v/>
      </c>
      <c r="AT226" s="453" t="str">
        <f>IF(Účetní_závěrka!K60&lt;&gt;"",Účetní_závěrka!K60,"")</f>
        <v/>
      </c>
      <c r="AV226">
        <v>50</v>
      </c>
      <c r="AW226" s="352"/>
    </row>
    <row r="227" spans="18:49" ht="15" hidden="1" customHeight="1">
      <c r="R227">
        <f t="shared" si="7"/>
        <v>1</v>
      </c>
      <c r="S227" s="452">
        <f t="shared" si="6"/>
        <v>50</v>
      </c>
      <c r="T227" s="453" t="str">
        <f>IF(Účetní_závěrka!D61&lt;&gt;"",Účetní_závěrka!D61,"")</f>
        <v/>
      </c>
      <c r="U227" s="453" t="str">
        <f>IF(Účetní_závěrka!E61&lt;&gt;"",ABS(Účetní_závěrka!E61),"")</f>
        <v/>
      </c>
      <c r="V227" s="453" t="str">
        <f>IF(Účetní_závěrka!F61&lt;&gt;"",Účetní_závěrka!F61,"")</f>
        <v/>
      </c>
      <c r="W227" s="453" t="str">
        <f>IF(Účetní_závěrka!G61&lt;&gt;"",Účetní_závěrka!G61,"")</f>
        <v/>
      </c>
      <c r="Y227">
        <v>50</v>
      </c>
      <c r="AB227">
        <f t="shared" si="8"/>
        <v>1</v>
      </c>
      <c r="AC227" s="566" t="str">
        <f t="shared" si="9"/>
        <v/>
      </c>
      <c r="AD227" s="453" t="str">
        <f>IF(Účetní_závěrka!E145&lt;&gt;"",Účetní_závěrka!E145,"")</f>
        <v/>
      </c>
      <c r="AE227" s="453" t="str">
        <f>IF(Účetní_závěrka!D145&lt;&gt;"",Účetní_závěrka!D145,"")</f>
        <v/>
      </c>
      <c r="AF227" s="352"/>
      <c r="AG227">
        <v>50</v>
      </c>
      <c r="AQ227">
        <f t="shared" si="10"/>
        <v>1</v>
      </c>
      <c r="AR227" s="452">
        <f t="shared" si="5"/>
        <v>51</v>
      </c>
      <c r="AS227" s="453" t="str">
        <f>IF(Účetní_závěrka!L61&lt;&gt;"",Účetní_závěrka!L61,"")</f>
        <v/>
      </c>
      <c r="AT227" s="453" t="str">
        <f>IF(Účetní_závěrka!K61&lt;&gt;"",Účetní_závěrka!K61,"")</f>
        <v/>
      </c>
      <c r="AV227">
        <v>51</v>
      </c>
      <c r="AW227" s="352"/>
    </row>
    <row r="228" spans="18:49" ht="15" hidden="1" customHeight="1">
      <c r="R228">
        <f t="shared" si="7"/>
        <v>1</v>
      </c>
      <c r="S228" s="452">
        <f t="shared" si="6"/>
        <v>51</v>
      </c>
      <c r="T228" s="453" t="str">
        <f>IF(Účetní_závěrka!D62&lt;&gt;"",Účetní_závěrka!D62,"")</f>
        <v/>
      </c>
      <c r="U228" s="453" t="str">
        <f>IF(Účetní_závěrka!E62&lt;&gt;"",ABS(Účetní_závěrka!E62),"")</f>
        <v/>
      </c>
      <c r="V228" s="453" t="str">
        <f>IF(Účetní_závěrka!F62&lt;&gt;"",Účetní_závěrka!F62,"")</f>
        <v/>
      </c>
      <c r="W228" s="453" t="str">
        <f>IF(Účetní_závěrka!G62&lt;&gt;"",Účetní_závěrka!G62,"")</f>
        <v/>
      </c>
      <c r="Y228">
        <v>51</v>
      </c>
      <c r="AB228">
        <f t="shared" si="8"/>
        <v>1</v>
      </c>
      <c r="AC228" s="566" t="str">
        <f t="shared" si="9"/>
        <v/>
      </c>
      <c r="AD228" s="453" t="str">
        <f>IF(Účetní_závěrka!E146&lt;&gt;"",Účetní_závěrka!E146,"")</f>
        <v/>
      </c>
      <c r="AE228" s="453" t="str">
        <f>IF(Účetní_závěrka!D146&lt;&gt;"",Účetní_závěrka!D146,"")</f>
        <v/>
      </c>
      <c r="AF228" s="352"/>
      <c r="AG228">
        <v>51</v>
      </c>
      <c r="AQ228">
        <f t="shared" si="10"/>
        <v>1</v>
      </c>
      <c r="AR228" s="452">
        <f t="shared" si="5"/>
        <v>52</v>
      </c>
      <c r="AS228" s="453" t="str">
        <f>IF(Účetní_závěrka!L62&lt;&gt;"",Účetní_závěrka!L62,"")</f>
        <v/>
      </c>
      <c r="AT228" s="453" t="str">
        <f>IF(Účetní_závěrka!K62&lt;&gt;"",Účetní_závěrka!K62,"")</f>
        <v/>
      </c>
      <c r="AV228">
        <v>52</v>
      </c>
      <c r="AW228" s="352"/>
    </row>
    <row r="229" spans="18:49" ht="15" hidden="1" customHeight="1">
      <c r="R229">
        <f t="shared" si="7"/>
        <v>1</v>
      </c>
      <c r="S229" s="452">
        <f t="shared" si="6"/>
        <v>52</v>
      </c>
      <c r="T229" s="453" t="str">
        <f>IF(Účetní_závěrka!D63&lt;&gt;"",Účetní_závěrka!D63,"")</f>
        <v/>
      </c>
      <c r="U229" s="453" t="str">
        <f>IF(Účetní_závěrka!E63&lt;&gt;"",ABS(Účetní_závěrka!E63),"")</f>
        <v/>
      </c>
      <c r="V229" s="453" t="str">
        <f>IF(Účetní_závěrka!F63&lt;&gt;"",Účetní_závěrka!F63,"")</f>
        <v/>
      </c>
      <c r="W229" s="453" t="str">
        <f>IF(Účetní_závěrka!G63&lt;&gt;"",Účetní_závěrka!G63,"")</f>
        <v/>
      </c>
      <c r="Y229">
        <v>52</v>
      </c>
      <c r="AB229">
        <f t="shared" si="8"/>
        <v>1</v>
      </c>
      <c r="AC229" s="566" t="str">
        <f t="shared" si="9"/>
        <v/>
      </c>
      <c r="AD229" s="453" t="str">
        <f>IF(Účetní_závěrka!E147&lt;&gt;"",Účetní_závěrka!E147,"")</f>
        <v/>
      </c>
      <c r="AE229" s="453" t="str">
        <f>IF(Účetní_závěrka!D147&lt;&gt;"",Účetní_závěrka!D147,"")</f>
        <v/>
      </c>
      <c r="AF229" s="352"/>
      <c r="AG229">
        <v>52</v>
      </c>
      <c r="AQ229">
        <f t="shared" si="10"/>
        <v>1</v>
      </c>
      <c r="AR229" s="452">
        <f t="shared" si="5"/>
        <v>53</v>
      </c>
      <c r="AS229" s="453" t="str">
        <f>IF(Účetní_závěrka!L63&lt;&gt;"",Účetní_závěrka!L63,"")</f>
        <v/>
      </c>
      <c r="AT229" s="453" t="str">
        <f>IF(Účetní_závěrka!K63&lt;&gt;"",Účetní_závěrka!K63,"")</f>
        <v/>
      </c>
      <c r="AV229">
        <v>53</v>
      </c>
      <c r="AW229" s="352"/>
    </row>
    <row r="230" spans="18:49" ht="15" hidden="1" customHeight="1">
      <c r="R230">
        <f t="shared" si="7"/>
        <v>1</v>
      </c>
      <c r="S230" s="452">
        <f t="shared" si="6"/>
        <v>53</v>
      </c>
      <c r="T230" s="453" t="str">
        <f>IF(Účetní_závěrka!D64&lt;&gt;"",Účetní_závěrka!D64,"")</f>
        <v/>
      </c>
      <c r="U230" s="453" t="str">
        <f>IF(Účetní_závěrka!E64&lt;&gt;"",ABS(Účetní_závěrka!E64),"")</f>
        <v/>
      </c>
      <c r="V230" s="453" t="str">
        <f>IF(Účetní_závěrka!F64&lt;&gt;"",Účetní_závěrka!F64,"")</f>
        <v/>
      </c>
      <c r="W230" s="453" t="str">
        <f>IF(Účetní_závěrka!G64&lt;&gt;"",Účetní_závěrka!G64,"")</f>
        <v/>
      </c>
      <c r="Y230">
        <v>53</v>
      </c>
      <c r="AB230">
        <f t="shared" si="8"/>
        <v>1</v>
      </c>
      <c r="AC230" s="566" t="str">
        <f t="shared" si="9"/>
        <v/>
      </c>
      <c r="AD230" s="453" t="str">
        <f>IF(Účetní_závěrka!E148&lt;&gt;"",Účetní_závěrka!E148,"")</f>
        <v/>
      </c>
      <c r="AE230" s="453" t="str">
        <f>IF(Účetní_závěrka!D148&lt;&gt;"",Účetní_závěrka!D148,"")</f>
        <v/>
      </c>
      <c r="AF230" s="352"/>
      <c r="AG230">
        <v>53</v>
      </c>
      <c r="AQ230">
        <f t="shared" si="10"/>
        <v>1</v>
      </c>
      <c r="AR230" s="452">
        <f t="shared" si="5"/>
        <v>54</v>
      </c>
      <c r="AS230" s="453" t="str">
        <f>IF(Účetní_závěrka!L64&lt;&gt;"",Účetní_závěrka!L64,"")</f>
        <v/>
      </c>
      <c r="AT230" s="453" t="str">
        <f>IF(Účetní_závěrka!K64&lt;&gt;"",Účetní_závěrka!K64,"")</f>
        <v/>
      </c>
      <c r="AV230">
        <v>54</v>
      </c>
      <c r="AW230" s="352"/>
    </row>
    <row r="231" spans="18:49" ht="15" hidden="1" customHeight="1">
      <c r="R231">
        <f t="shared" si="7"/>
        <v>1</v>
      </c>
      <c r="S231" s="452">
        <f t="shared" si="6"/>
        <v>54</v>
      </c>
      <c r="T231" s="453" t="str">
        <f>IF(Účetní_závěrka!D65&lt;&gt;"",Účetní_závěrka!D65,"")</f>
        <v/>
      </c>
      <c r="U231" s="453" t="str">
        <f>IF(Účetní_závěrka!E65&lt;&gt;"",ABS(Účetní_závěrka!E65),"")</f>
        <v/>
      </c>
      <c r="V231" s="453" t="str">
        <f>IF(Účetní_závěrka!F65&lt;&gt;"",Účetní_závěrka!F65,"")</f>
        <v/>
      </c>
      <c r="W231" s="453" t="str">
        <f>IF(Účetní_závěrka!G65&lt;&gt;"",Účetní_závěrka!G65,"")</f>
        <v/>
      </c>
      <c r="Y231">
        <v>54</v>
      </c>
      <c r="AB231">
        <f t="shared" si="8"/>
        <v>1</v>
      </c>
      <c r="AC231" s="566" t="str">
        <f t="shared" si="9"/>
        <v/>
      </c>
      <c r="AD231" s="453" t="str">
        <f>IF(Účetní_závěrka!E149&lt;&gt;"",Účetní_závěrka!E149,"")</f>
        <v/>
      </c>
      <c r="AE231" s="453" t="str">
        <f>IF(Účetní_závěrka!D149&lt;&gt;"",Účetní_závěrka!D149,"")</f>
        <v/>
      </c>
      <c r="AF231" s="352"/>
      <c r="AG231">
        <v>54</v>
      </c>
      <c r="AQ231">
        <f t="shared" si="10"/>
        <v>1</v>
      </c>
      <c r="AR231" s="452">
        <f t="shared" si="5"/>
        <v>55</v>
      </c>
      <c r="AS231" s="453" t="str">
        <f>IF(Účetní_závěrka!L65&lt;&gt;"",Účetní_závěrka!L65,"")</f>
        <v/>
      </c>
      <c r="AT231" s="453" t="str">
        <f>IF(Účetní_závěrka!K65&lt;&gt;"",Účetní_závěrka!K65,"")</f>
        <v/>
      </c>
      <c r="AV231">
        <v>55</v>
      </c>
      <c r="AW231" s="352"/>
    </row>
    <row r="232" spans="18:49" ht="15" hidden="1" customHeight="1">
      <c r="R232">
        <f t="shared" si="7"/>
        <v>1</v>
      </c>
      <c r="S232" s="452">
        <f t="shared" si="6"/>
        <v>55</v>
      </c>
      <c r="T232" s="453" t="str">
        <f>IF(Účetní_závěrka!D66&lt;&gt;"",Účetní_závěrka!D66,"")</f>
        <v/>
      </c>
      <c r="U232" s="453" t="str">
        <f>IF(Účetní_závěrka!E66&lt;&gt;"",ABS(Účetní_závěrka!E66),"")</f>
        <v/>
      </c>
      <c r="V232" s="453" t="str">
        <f>IF(Účetní_závěrka!F66&lt;&gt;"",Účetní_závěrka!F66,"")</f>
        <v/>
      </c>
      <c r="W232" s="453" t="str">
        <f>IF(Účetní_závěrka!G66&lt;&gt;"",Účetní_závěrka!G66,"")</f>
        <v/>
      </c>
      <c r="Y232">
        <v>55</v>
      </c>
      <c r="AB232">
        <f t="shared" si="8"/>
        <v>1</v>
      </c>
      <c r="AC232" s="566" t="str">
        <f t="shared" si="9"/>
        <v/>
      </c>
      <c r="AD232" s="453" t="str">
        <f>IF(Účetní_závěrka!E150&lt;&gt;"",Účetní_závěrka!E150,"")</f>
        <v/>
      </c>
      <c r="AE232" s="453" t="str">
        <f>IF(Účetní_závěrka!D150&lt;&gt;"",Účetní_závěrka!D150,"")</f>
        <v/>
      </c>
      <c r="AF232" s="352"/>
      <c r="AG232">
        <v>55</v>
      </c>
      <c r="AQ232">
        <f t="shared" si="10"/>
        <v>1</v>
      </c>
      <c r="AR232" s="452">
        <f t="shared" si="5"/>
        <v>56</v>
      </c>
      <c r="AS232" s="453" t="str">
        <f>IF(Účetní_závěrka!L66&lt;&gt;"",Účetní_závěrka!L66,"")</f>
        <v/>
      </c>
      <c r="AT232" s="453" t="str">
        <f>IF(Účetní_závěrka!K66&lt;&gt;"",Účetní_závěrka!K66,"")</f>
        <v/>
      </c>
      <c r="AV232">
        <v>56</v>
      </c>
      <c r="AW232" s="352"/>
    </row>
    <row r="233" spans="18:49" ht="15" hidden="1" customHeight="1">
      <c r="R233">
        <f t="shared" si="7"/>
        <v>1</v>
      </c>
      <c r="S233" s="452">
        <f t="shared" si="6"/>
        <v>56</v>
      </c>
      <c r="T233" s="453" t="str">
        <f>IF(Účetní_závěrka!D67&lt;&gt;"",Účetní_závěrka!D67,"")</f>
        <v/>
      </c>
      <c r="U233" s="453" t="str">
        <f>IF(Účetní_závěrka!E67&lt;&gt;"",ABS(Účetní_závěrka!E67),"")</f>
        <v/>
      </c>
      <c r="V233" s="453" t="str">
        <f>IF(Účetní_závěrka!F67&lt;&gt;"",Účetní_závěrka!F67,"")</f>
        <v/>
      </c>
      <c r="W233" s="453" t="str">
        <f>IF(Účetní_závěrka!G67&lt;&gt;"",Účetní_závěrka!G67,"")</f>
        <v/>
      </c>
      <c r="Y233">
        <v>56</v>
      </c>
      <c r="AB233">
        <f t="shared" si="8"/>
        <v>1</v>
      </c>
      <c r="AC233" s="566" t="str">
        <f t="shared" si="9"/>
        <v/>
      </c>
      <c r="AD233" s="453" t="str">
        <f>IF(Účetní_závěrka!E151&lt;&gt;"",Účetní_závěrka!E151,"")</f>
        <v/>
      </c>
      <c r="AE233" s="453" t="str">
        <f>IF(Účetní_závěrka!D151&lt;&gt;"",Účetní_závěrka!D151,"")</f>
        <v/>
      </c>
      <c r="AF233" s="352"/>
      <c r="AG233">
        <v>56</v>
      </c>
      <c r="AQ233">
        <f t="shared" si="10"/>
        <v>1</v>
      </c>
      <c r="AR233" s="452">
        <f t="shared" si="5"/>
        <v>57</v>
      </c>
      <c r="AS233" s="453" t="str">
        <f>IF(Účetní_závěrka!L67&lt;&gt;"",Účetní_závěrka!L67,"")</f>
        <v/>
      </c>
      <c r="AT233" s="453" t="str">
        <f>IF(Účetní_závěrka!K67&lt;&gt;"",Účetní_závěrka!K67,"")</f>
        <v/>
      </c>
      <c r="AV233">
        <v>57</v>
      </c>
      <c r="AW233" s="352"/>
    </row>
    <row r="234" spans="18:49" ht="15" hidden="1" customHeight="1">
      <c r="R234">
        <f t="shared" si="7"/>
        <v>1</v>
      </c>
      <c r="S234" s="452">
        <f t="shared" si="6"/>
        <v>57</v>
      </c>
      <c r="T234" s="453" t="str">
        <f>IF(Účetní_závěrka!D68&lt;&gt;"",Účetní_závěrka!D68,"")</f>
        <v/>
      </c>
      <c r="U234" s="453" t="str">
        <f>IF(Účetní_závěrka!E68&lt;&gt;"",ABS(Účetní_závěrka!E68),"")</f>
        <v/>
      </c>
      <c r="V234" s="453" t="str">
        <f>IF(Účetní_závěrka!F68&lt;&gt;"",Účetní_závěrka!F68,"")</f>
        <v/>
      </c>
      <c r="W234" s="453" t="str">
        <f>IF(Účetní_závěrka!G68&lt;&gt;"",Účetní_závěrka!G68,"")</f>
        <v/>
      </c>
      <c r="Y234">
        <v>57</v>
      </c>
      <c r="AB234" s="338">
        <f t="shared" ref="AB234:AB237" si="11">$AB$176</f>
        <v>1</v>
      </c>
      <c r="AC234" s="566" t="str">
        <f t="shared" ref="AC234:AC237" si="12">IF($B$38="P",AG238,IF(AH238&lt;&gt;"",AH238,""))</f>
        <v/>
      </c>
      <c r="AD234" s="567"/>
      <c r="AE234" s="567"/>
      <c r="AF234" s="352"/>
      <c r="AG234" s="352"/>
      <c r="AH234" s="352"/>
      <c r="AQ234">
        <f t="shared" si="10"/>
        <v>1</v>
      </c>
      <c r="AR234" s="452">
        <f t="shared" si="5"/>
        <v>58</v>
      </c>
      <c r="AS234" s="453" t="str">
        <f>IF(Účetní_závěrka!L68&lt;&gt;"",Účetní_závěrka!L68,"")</f>
        <v/>
      </c>
      <c r="AT234" s="453" t="str">
        <f>IF(Účetní_závěrka!K68&lt;&gt;"",Účetní_závěrka!K68,"")</f>
        <v/>
      </c>
      <c r="AV234">
        <v>58</v>
      </c>
      <c r="AW234" s="352"/>
    </row>
    <row r="235" spans="18:49" ht="15" hidden="1" customHeight="1">
      <c r="R235">
        <f t="shared" si="7"/>
        <v>1</v>
      </c>
      <c r="S235" s="452">
        <f t="shared" si="6"/>
        <v>58</v>
      </c>
      <c r="T235" s="453" t="str">
        <f>IF(Účetní_závěrka!D69&lt;&gt;"",Účetní_závěrka!D69,"")</f>
        <v/>
      </c>
      <c r="U235" s="453" t="str">
        <f>IF(Účetní_závěrka!E69&lt;&gt;"",ABS(Účetní_závěrka!E69),"")</f>
        <v/>
      </c>
      <c r="V235" s="453" t="str">
        <f>IF(Účetní_závěrka!F69&lt;&gt;"",Účetní_závěrka!F69,"")</f>
        <v/>
      </c>
      <c r="W235" s="453" t="str">
        <f>IF(Účetní_závěrka!G69&lt;&gt;"",Účetní_závěrka!G69,"")</f>
        <v/>
      </c>
      <c r="Y235">
        <v>58</v>
      </c>
      <c r="AB235" s="338">
        <f t="shared" si="11"/>
        <v>1</v>
      </c>
      <c r="AC235" s="566" t="str">
        <f t="shared" si="12"/>
        <v/>
      </c>
      <c r="AD235" s="567"/>
      <c r="AE235" s="567"/>
      <c r="AF235" s="352"/>
      <c r="AG235" s="352"/>
      <c r="AH235" s="352"/>
      <c r="AQ235">
        <f t="shared" si="10"/>
        <v>1</v>
      </c>
      <c r="AR235" s="452">
        <f t="shared" si="5"/>
        <v>59</v>
      </c>
      <c r="AS235" s="453" t="str">
        <f>IF(Účetní_závěrka!L69&lt;&gt;"",Účetní_závěrka!L69,"")</f>
        <v/>
      </c>
      <c r="AT235" s="453" t="str">
        <f>IF(Účetní_závěrka!K69&lt;&gt;"",Účetní_závěrka!K69,"")</f>
        <v/>
      </c>
      <c r="AV235">
        <v>59</v>
      </c>
      <c r="AW235" s="352"/>
    </row>
    <row r="236" spans="18:49" ht="15" hidden="1" customHeight="1">
      <c r="R236">
        <f t="shared" si="7"/>
        <v>1</v>
      </c>
      <c r="S236" s="452">
        <f t="shared" si="6"/>
        <v>59</v>
      </c>
      <c r="T236" s="453" t="str">
        <f>IF(Účetní_závěrka!D70&lt;&gt;"",Účetní_závěrka!D70,"")</f>
        <v/>
      </c>
      <c r="U236" s="453" t="str">
        <f>IF(Účetní_závěrka!E70&lt;&gt;"",ABS(Účetní_závěrka!E70),"")</f>
        <v/>
      </c>
      <c r="V236" s="453" t="str">
        <f>IF(Účetní_závěrka!F70&lt;&gt;"",Účetní_závěrka!F70,"")</f>
        <v/>
      </c>
      <c r="W236" s="453" t="str">
        <f>IF(Účetní_závěrka!G70&lt;&gt;"",Účetní_závěrka!G70,"")</f>
        <v/>
      </c>
      <c r="Y236">
        <v>59</v>
      </c>
      <c r="AB236" s="338">
        <f t="shared" si="11"/>
        <v>1</v>
      </c>
      <c r="AC236" s="566" t="str">
        <f t="shared" si="12"/>
        <v/>
      </c>
      <c r="AD236" s="567"/>
      <c r="AE236" s="567"/>
      <c r="AF236" s="352"/>
      <c r="AG236" s="352"/>
      <c r="AH236" s="352"/>
      <c r="AQ236" s="338">
        <f t="shared" ref="AQ236:AQ243" si="13">$AP$178</f>
        <v>1</v>
      </c>
      <c r="AR236" s="452">
        <f t="shared" si="5"/>
        <v>60</v>
      </c>
      <c r="AS236" s="453" t="str">
        <f>IF(Účetní_závěrka!L70&lt;&gt;"",Účetní_závěrka!L70,"")</f>
        <v/>
      </c>
      <c r="AT236" s="453" t="str">
        <f>IF(Účetní_závěrka!K70&lt;&gt;"",Účetní_závěrka!K70,"")</f>
        <v/>
      </c>
      <c r="AV236">
        <v>60</v>
      </c>
      <c r="AW236" s="352"/>
    </row>
    <row r="237" spans="18:49" ht="15" hidden="1" customHeight="1">
      <c r="R237">
        <f t="shared" si="7"/>
        <v>1</v>
      </c>
      <c r="S237" s="452">
        <f t="shared" si="6"/>
        <v>60</v>
      </c>
      <c r="T237" s="453" t="str">
        <f>IF(Účetní_závěrka!D71&lt;&gt;"",Účetní_závěrka!D71,"")</f>
        <v/>
      </c>
      <c r="U237" s="453" t="str">
        <f>IF(Účetní_závěrka!E71&lt;&gt;"",ABS(Účetní_závěrka!E71),"")</f>
        <v/>
      </c>
      <c r="V237" s="453" t="str">
        <f>IF(Účetní_závěrka!F71&lt;&gt;"",Účetní_závěrka!F71,"")</f>
        <v/>
      </c>
      <c r="W237" s="453" t="str">
        <f>IF(Účetní_závěrka!G71&lt;&gt;"",Účetní_závěrka!G71,"")</f>
        <v/>
      </c>
      <c r="Y237">
        <v>60</v>
      </c>
      <c r="AB237" s="338">
        <f t="shared" si="11"/>
        <v>1</v>
      </c>
      <c r="AC237" s="566" t="str">
        <f t="shared" si="12"/>
        <v/>
      </c>
      <c r="AD237" s="567"/>
      <c r="AE237" s="567"/>
      <c r="AF237" s="352"/>
      <c r="AG237" s="352"/>
      <c r="AH237" s="352"/>
      <c r="AQ237" s="338">
        <f t="shared" si="13"/>
        <v>1</v>
      </c>
      <c r="AR237" s="452">
        <f t="shared" si="5"/>
        <v>61</v>
      </c>
      <c r="AS237" s="453" t="str">
        <f>IF(Účetní_závěrka!L71&lt;&gt;"",Účetní_závěrka!L71,"")</f>
        <v/>
      </c>
      <c r="AT237" s="453" t="str">
        <f>IF(Účetní_závěrka!K71&lt;&gt;"",Účetní_závěrka!K71,"")</f>
        <v/>
      </c>
      <c r="AV237">
        <v>61</v>
      </c>
      <c r="AW237" s="352"/>
    </row>
    <row r="238" spans="18:49" ht="15" hidden="1" customHeight="1">
      <c r="R238">
        <f t="shared" si="7"/>
        <v>1</v>
      </c>
      <c r="S238" s="452">
        <f t="shared" si="6"/>
        <v>61</v>
      </c>
      <c r="T238" s="453" t="str">
        <f>IF(Účetní_závěrka!D72&lt;&gt;"",Účetní_závěrka!D72,"")</f>
        <v/>
      </c>
      <c r="U238" s="453" t="str">
        <f>IF(Účetní_závěrka!E72&lt;&gt;"",ABS(Účetní_závěrka!E72),"")</f>
        <v/>
      </c>
      <c r="V238" s="453" t="str">
        <f>IF(Účetní_závěrka!F72&lt;&gt;"",Účetní_závěrka!F72,"")</f>
        <v/>
      </c>
      <c r="W238" s="453" t="str">
        <f>IF(Účetní_závěrka!G72&lt;&gt;"",Účetní_závěrka!G72,"")</f>
        <v/>
      </c>
      <c r="Y238">
        <v>61</v>
      </c>
      <c r="AD238" s="338"/>
      <c r="AE238" s="338"/>
      <c r="AF238" s="352"/>
      <c r="AG238" s="352"/>
      <c r="AH238" s="352"/>
      <c r="AQ238" s="338">
        <f t="shared" si="13"/>
        <v>1</v>
      </c>
      <c r="AR238" s="452">
        <f t="shared" si="5"/>
        <v>62</v>
      </c>
      <c r="AS238" s="453" t="str">
        <f>IF(Účetní_závěrka!L72&lt;&gt;"",Účetní_závěrka!L72,"")</f>
        <v/>
      </c>
      <c r="AT238" s="453" t="str">
        <f>IF(Účetní_závěrka!K72&lt;&gt;"",Účetní_závěrka!K72,"")</f>
        <v/>
      </c>
      <c r="AV238">
        <v>62</v>
      </c>
      <c r="AW238" s="352"/>
    </row>
    <row r="239" spans="18:49" ht="15" hidden="1" customHeight="1">
      <c r="R239">
        <f t="shared" si="7"/>
        <v>1</v>
      </c>
      <c r="S239" s="452">
        <f t="shared" si="6"/>
        <v>62</v>
      </c>
      <c r="T239" s="453" t="str">
        <f>IF(Účetní_závěrka!D73&lt;&gt;"",Účetní_závěrka!D73,"")</f>
        <v/>
      </c>
      <c r="U239" s="453" t="str">
        <f>IF(Účetní_závěrka!E73&lt;&gt;"",ABS(Účetní_závěrka!E73),"")</f>
        <v/>
      </c>
      <c r="V239" s="453" t="str">
        <f>IF(Účetní_závěrka!F73&lt;&gt;"",Účetní_závěrka!F73,"")</f>
        <v/>
      </c>
      <c r="W239" s="453" t="str">
        <f>IF(Účetní_závěrka!G73&lt;&gt;"",Účetní_závěrka!G73,"")</f>
        <v/>
      </c>
      <c r="Y239">
        <v>62</v>
      </c>
      <c r="AQ239" s="338">
        <f t="shared" si="13"/>
        <v>1</v>
      </c>
      <c r="AR239" s="452">
        <f t="shared" si="5"/>
        <v>63</v>
      </c>
      <c r="AS239" s="453" t="str">
        <f>IF(Účetní_závěrka!L73&lt;&gt;"",Účetní_závěrka!L73,"")</f>
        <v/>
      </c>
      <c r="AT239" s="453" t="str">
        <f>IF(Účetní_závěrka!K73&lt;&gt;"",Účetní_závěrka!K73,"")</f>
        <v/>
      </c>
      <c r="AV239">
        <v>63</v>
      </c>
      <c r="AW239" s="352"/>
    </row>
    <row r="240" spans="18:49" ht="15" hidden="1" customHeight="1">
      <c r="R240">
        <f t="shared" si="7"/>
        <v>1</v>
      </c>
      <c r="S240" s="452">
        <f t="shared" si="6"/>
        <v>63</v>
      </c>
      <c r="T240" s="453" t="str">
        <f>IF(Účetní_závěrka!D74&lt;&gt;"",Účetní_závěrka!D74,"")</f>
        <v/>
      </c>
      <c r="U240" s="453" t="str">
        <f>IF(Účetní_závěrka!E74&lt;&gt;"",ABS(Účetní_závěrka!E74),"")</f>
        <v/>
      </c>
      <c r="V240" s="453" t="str">
        <f>IF(Účetní_závěrka!F74&lt;&gt;"",Účetní_závěrka!F74,"")</f>
        <v/>
      </c>
      <c r="W240" s="453" t="str">
        <f>IF(Účetní_závěrka!G74&lt;&gt;"",Účetní_závěrka!G74,"")</f>
        <v/>
      </c>
      <c r="Y240">
        <v>63</v>
      </c>
      <c r="AQ240" s="338">
        <f t="shared" si="13"/>
        <v>1</v>
      </c>
      <c r="AR240" s="452">
        <f t="shared" si="5"/>
        <v>67</v>
      </c>
      <c r="AS240" s="453" t="str">
        <f>IF(Účetní_závěrka!L74&lt;&gt;"",Účetní_závěrka!L74,"")</f>
        <v/>
      </c>
      <c r="AT240" s="453" t="str">
        <f>IF(Účetní_závěrka!K74&lt;&gt;"",Účetní_závěrka!K74,"")</f>
        <v/>
      </c>
      <c r="AV240">
        <v>67</v>
      </c>
      <c r="AW240" s="352"/>
    </row>
    <row r="241" spans="18:49" ht="15" hidden="1" customHeight="1">
      <c r="R241">
        <f t="shared" si="7"/>
        <v>1</v>
      </c>
      <c r="S241" s="452">
        <f t="shared" si="6"/>
        <v>64</v>
      </c>
      <c r="T241" s="453" t="str">
        <f>IF(Účetní_závěrka!D75&lt;&gt;"",Účetní_závěrka!D75,"")</f>
        <v/>
      </c>
      <c r="U241" s="453" t="str">
        <f>IF(Účetní_závěrka!E75&lt;&gt;"",ABS(Účetní_závěrka!E75),"")</f>
        <v/>
      </c>
      <c r="V241" s="453" t="str">
        <f>IF(Účetní_závěrka!F75&lt;&gt;"",Účetní_závěrka!F75,"")</f>
        <v/>
      </c>
      <c r="W241" s="453" t="str">
        <f>IF(Účetní_závěrka!G75&lt;&gt;"",Účetní_závěrka!G75,"")</f>
        <v/>
      </c>
      <c r="Y241">
        <v>64</v>
      </c>
      <c r="AQ241" s="338">
        <f t="shared" si="13"/>
        <v>1</v>
      </c>
      <c r="AR241" s="452">
        <f t="shared" si="5"/>
        <v>68</v>
      </c>
      <c r="AS241" s="453" t="str">
        <f>IF(Účetní_závěrka!L75&lt;&gt;"",Účetní_závěrka!L75,"")</f>
        <v/>
      </c>
      <c r="AT241" s="453" t="str">
        <f>IF(Účetní_závěrka!K75&lt;&gt;"",Účetní_závěrka!K75,"")</f>
        <v/>
      </c>
      <c r="AV241">
        <v>68</v>
      </c>
      <c r="AW241" s="352"/>
    </row>
    <row r="242" spans="18:49" ht="15" hidden="1" customHeight="1">
      <c r="R242">
        <f t="shared" si="7"/>
        <v>1</v>
      </c>
      <c r="S242" s="452">
        <f t="shared" ref="S242:S254" si="14">IF($B$38="P",Y242,IF($B$38="Z",IF(Z242&lt;&gt;"",Z242,""),IF($B$38="M",IF(AA242&lt;&gt;"",AA242,""),Y242)))</f>
        <v>65</v>
      </c>
      <c r="T242" s="453" t="str">
        <f>IF(Účetní_závěrka!D76&lt;&gt;"",Účetní_závěrka!D76,"")</f>
        <v/>
      </c>
      <c r="U242" s="453" t="str">
        <f>IF(Účetní_závěrka!E76&lt;&gt;"",ABS(Účetní_závěrka!E76),"")</f>
        <v/>
      </c>
      <c r="V242" s="453" t="str">
        <f>IF(Účetní_závěrka!F76&lt;&gt;"",Účetní_závěrka!F76,"")</f>
        <v/>
      </c>
      <c r="W242" s="453" t="str">
        <f>IF(Účetní_závěrka!G76&lt;&gt;"",Účetní_závěrka!G76,"")</f>
        <v/>
      </c>
      <c r="Y242">
        <v>65</v>
      </c>
      <c r="AQ242" s="338">
        <f t="shared" si="13"/>
        <v>1</v>
      </c>
      <c r="AR242" s="566">
        <f t="shared" ref="AR242" si="15">IF($B$38="P",AV242,IF($B$38="Z",IF(AW242&lt;&gt;"",AW242,""),IF($B$38="M",IF(AX242&lt;&gt;"",AX242,""),AV242)))</f>
        <v>69</v>
      </c>
      <c r="AS242" s="453" t="str">
        <f>IF(Účetní_závěrka!L76&lt;&gt;"",Účetní_závěrka!L76,"")</f>
        <v/>
      </c>
      <c r="AT242" s="453" t="str">
        <f>IF(Účetní_závěrka!K76&lt;&gt;"",Účetní_závěrka!K76,"")</f>
        <v/>
      </c>
      <c r="AV242">
        <v>69</v>
      </c>
      <c r="AW242" s="352"/>
    </row>
    <row r="243" spans="18:49" ht="15" hidden="1" customHeight="1">
      <c r="R243">
        <f t="shared" si="7"/>
        <v>1</v>
      </c>
      <c r="S243" s="452">
        <f t="shared" si="14"/>
        <v>66</v>
      </c>
      <c r="T243" s="453" t="str">
        <f>IF(Účetní_závěrka!D77&lt;&gt;"",Účetní_závěrka!D77,"")</f>
        <v/>
      </c>
      <c r="U243" s="453" t="str">
        <f>IF(Účetní_závěrka!E77&lt;&gt;"",ABS(Účetní_závěrka!E77),"")</f>
        <v/>
      </c>
      <c r="V243" s="453" t="str">
        <f>IF(Účetní_závěrka!F77&lt;&gt;"",Účetní_závěrka!F77,"")</f>
        <v/>
      </c>
      <c r="W243" s="453" t="str">
        <f>IF(Účetní_závěrka!G77&lt;&gt;"",Účetní_závěrka!G77,"")</f>
        <v/>
      </c>
      <c r="Y243">
        <v>66</v>
      </c>
      <c r="AQ243" s="338">
        <f t="shared" si="13"/>
        <v>1</v>
      </c>
      <c r="AR243" s="566">
        <f t="shared" ref="AR243:AR245" si="16">IF($B$38="P",AV243,IF($B$38="Z",IF(AW243&lt;&gt;"",AW243,""),IF($B$38="M",IF(AX243&lt;&gt;"",AX243,""),AV243)))</f>
        <v>64</v>
      </c>
      <c r="AS243" s="453" t="str">
        <f>IF(Účetní_závěrka!L77&lt;&gt;"",Účetní_závěrka!L77,"")</f>
        <v/>
      </c>
      <c r="AT243" s="453" t="str">
        <f>IF(Účetní_závěrka!K77&lt;&gt;"",Účetní_závěrka!K77,"")</f>
        <v/>
      </c>
      <c r="AV243">
        <v>64</v>
      </c>
      <c r="AW243" s="352"/>
    </row>
    <row r="244" spans="18:49" ht="15" hidden="1" customHeight="1">
      <c r="R244" s="342">
        <f t="shared" ref="R244:R254" si="17">$Q$178</f>
        <v>1</v>
      </c>
      <c r="S244" s="452">
        <f t="shared" si="14"/>
        <v>67</v>
      </c>
      <c r="T244" s="453" t="str">
        <f>IF(Účetní_závěrka!D78&lt;&gt;"",Účetní_závěrka!D78,"")</f>
        <v/>
      </c>
      <c r="U244" s="453" t="str">
        <f>IF(Účetní_závěrka!E78&lt;&gt;"",ABS(Účetní_závěrka!E78),"")</f>
        <v/>
      </c>
      <c r="V244" s="453" t="str">
        <f>IF(Účetní_závěrka!F78&lt;&gt;"",Účetní_závěrka!F78,"")</f>
        <v/>
      </c>
      <c r="W244" s="453" t="str">
        <f>IF(Účetní_závěrka!G78&lt;&gt;"",Účetní_závěrka!G78,"")</f>
        <v/>
      </c>
      <c r="Y244">
        <v>67</v>
      </c>
      <c r="AQ244" s="338">
        <f t="shared" ref="AQ244:AQ245" si="18">$AP$178</f>
        <v>1</v>
      </c>
      <c r="AR244" s="566">
        <f t="shared" si="16"/>
        <v>65</v>
      </c>
      <c r="AS244" s="453" t="str">
        <f>IF(Účetní_závěrka!L78&lt;&gt;"",Účetní_závěrka!L78,"")</f>
        <v/>
      </c>
      <c r="AT244" s="453" t="str">
        <f>IF(Účetní_závěrka!K78&lt;&gt;"",Účetní_závěrka!K78,"")</f>
        <v/>
      </c>
      <c r="AV244">
        <v>65</v>
      </c>
      <c r="AW244" s="352"/>
    </row>
    <row r="245" spans="18:49" ht="15" hidden="1" customHeight="1">
      <c r="R245" s="342">
        <f t="shared" si="17"/>
        <v>1</v>
      </c>
      <c r="S245" s="452">
        <f t="shared" si="14"/>
        <v>78</v>
      </c>
      <c r="T245" s="453" t="str">
        <f>IF(Účetní_závěrka!D79&lt;&gt;"",Účetní_závěrka!D79,"")</f>
        <v/>
      </c>
      <c r="U245" s="453" t="str">
        <f>IF(Účetní_závěrka!E79&lt;&gt;"",ABS(Účetní_závěrka!E79),"")</f>
        <v/>
      </c>
      <c r="V245" s="453" t="str">
        <f>IF(Účetní_závěrka!F79&lt;&gt;"",Účetní_závěrka!F79,"")</f>
        <v/>
      </c>
      <c r="W245" s="453" t="str">
        <f>IF(Účetní_závěrka!G79&lt;&gt;"",Účetní_závěrka!G79,"")</f>
        <v/>
      </c>
      <c r="Y245">
        <v>78</v>
      </c>
      <c r="AQ245" s="338">
        <f t="shared" si="18"/>
        <v>1</v>
      </c>
      <c r="AR245" s="566">
        <f t="shared" si="16"/>
        <v>66</v>
      </c>
      <c r="AS245" s="453" t="str">
        <f>IF(Účetní_závěrka!L79&lt;&gt;"",Účetní_závěrka!L79,"")</f>
        <v/>
      </c>
      <c r="AT245" s="453" t="str">
        <f>IF(Účetní_závěrka!K79&lt;&gt;"",Účetní_závěrka!K79,"")</f>
        <v/>
      </c>
      <c r="AV245">
        <v>66</v>
      </c>
      <c r="AW245" s="352"/>
    </row>
    <row r="246" spans="18:49" ht="15" hidden="1" customHeight="1">
      <c r="R246" s="342">
        <f t="shared" si="17"/>
        <v>1</v>
      </c>
      <c r="S246" s="452">
        <f t="shared" si="14"/>
        <v>79</v>
      </c>
      <c r="T246" s="453" t="str">
        <f>IF(Účetní_závěrka!D80&lt;&gt;"",Účetní_závěrka!D80,"")</f>
        <v/>
      </c>
      <c r="U246" s="453" t="str">
        <f>IF(Účetní_závěrka!E80&lt;&gt;"",ABS(Účetní_závěrka!E80),"")</f>
        <v/>
      </c>
      <c r="V246" s="453" t="str">
        <f>IF(Účetní_závěrka!F80&lt;&gt;"",Účetní_závěrka!F80,"")</f>
        <v/>
      </c>
      <c r="W246" s="453" t="str">
        <f>IF(Účetní_závěrka!G80&lt;&gt;"",Účetní_závěrka!G80,"")</f>
        <v/>
      </c>
      <c r="Y246">
        <v>79</v>
      </c>
    </row>
    <row r="247" spans="18:49" ht="15" hidden="1" customHeight="1">
      <c r="R247" s="342">
        <f t="shared" si="17"/>
        <v>1</v>
      </c>
      <c r="S247" s="452">
        <f t="shared" si="14"/>
        <v>80</v>
      </c>
      <c r="T247" s="453" t="str">
        <f>IF(Účetní_závěrka!D81&lt;&gt;"",Účetní_závěrka!D81,"")</f>
        <v/>
      </c>
      <c r="U247" s="453" t="str">
        <f>IF(Účetní_závěrka!E81&lt;&gt;"",ABS(Účetní_závěrka!E81),"")</f>
        <v/>
      </c>
      <c r="V247" s="453" t="str">
        <f>IF(Účetní_závěrka!F81&lt;&gt;"",Účetní_závěrka!F81,"")</f>
        <v/>
      </c>
      <c r="W247" s="453" t="str">
        <f>IF(Účetní_závěrka!G81&lt;&gt;"",Účetní_závěrka!G81,"")</f>
        <v/>
      </c>
      <c r="Y247">
        <v>80</v>
      </c>
    </row>
    <row r="248" spans="18:49" ht="15" hidden="1" customHeight="1">
      <c r="R248" s="342">
        <f t="shared" si="17"/>
        <v>1</v>
      </c>
      <c r="S248" s="452">
        <f t="shared" si="14"/>
        <v>81</v>
      </c>
      <c r="T248" s="453" t="str">
        <f>IF(Účetní_závěrka!D82&lt;&gt;"",Účetní_závěrka!D82,"")</f>
        <v/>
      </c>
      <c r="U248" s="453" t="str">
        <f>IF(Účetní_závěrka!E82&lt;&gt;"",ABS(Účetní_závěrka!E82),"")</f>
        <v/>
      </c>
      <c r="V248" s="453" t="str">
        <f>IF(Účetní_závěrka!F82&lt;&gt;"",Účetní_závěrka!F82,"")</f>
        <v/>
      </c>
      <c r="W248" s="453" t="str">
        <f>IF(Účetní_závěrka!G82&lt;&gt;"",Účetní_závěrka!G82,"")</f>
        <v/>
      </c>
      <c r="Y248">
        <v>81</v>
      </c>
    </row>
    <row r="249" spans="18:49" ht="15" hidden="1" customHeight="1">
      <c r="R249" s="342">
        <f t="shared" si="17"/>
        <v>1</v>
      </c>
      <c r="S249" s="452">
        <f t="shared" si="14"/>
        <v>68</v>
      </c>
      <c r="T249" s="453" t="str">
        <f>IF(Účetní_závěrka!D83&lt;&gt;"",Účetní_závěrka!D83,"")</f>
        <v/>
      </c>
      <c r="U249" s="453" t="str">
        <f>IF(Účetní_závěrka!E83&lt;&gt;"",ABS(Účetní_závěrka!E83),"")</f>
        <v/>
      </c>
      <c r="V249" s="453" t="str">
        <f>IF(Účetní_závěrka!F83&lt;&gt;"",Účetní_závěrka!F83,"")</f>
        <v/>
      </c>
      <c r="W249" s="453" t="str">
        <f>IF(Účetní_závěrka!G83&lt;&gt;"",Účetní_závěrka!G83,"")</f>
        <v/>
      </c>
      <c r="Y249">
        <v>68</v>
      </c>
    </row>
    <row r="250" spans="18:49" ht="15" hidden="1" customHeight="1">
      <c r="R250" s="342">
        <f t="shared" si="17"/>
        <v>1</v>
      </c>
      <c r="S250" s="452">
        <f t="shared" si="14"/>
        <v>69</v>
      </c>
      <c r="T250" s="453" t="str">
        <f>IF(Účetní_závěrka!D84&lt;&gt;"",Účetní_závěrka!D84,"")</f>
        <v/>
      </c>
      <c r="U250" s="453" t="str">
        <f>IF(Účetní_závěrka!E84&lt;&gt;"",ABS(Účetní_závěrka!E84),"")</f>
        <v/>
      </c>
      <c r="V250" s="453" t="str">
        <f>IF(Účetní_závěrka!F84&lt;&gt;"",Účetní_závěrka!F84,"")</f>
        <v/>
      </c>
      <c r="W250" s="453" t="str">
        <f>IF(Účetní_závěrka!G84&lt;&gt;"",Účetní_závěrka!G84,"")</f>
        <v/>
      </c>
      <c r="Y250">
        <v>69</v>
      </c>
    </row>
    <row r="251" spans="18:49" ht="15" hidden="1" customHeight="1">
      <c r="R251" s="342">
        <f t="shared" si="17"/>
        <v>1</v>
      </c>
      <c r="S251" s="452">
        <f t="shared" si="14"/>
        <v>70</v>
      </c>
      <c r="T251" s="453" t="str">
        <f>IF(Účetní_závěrka!D85&lt;&gt;"",Účetní_závěrka!D85,"")</f>
        <v/>
      </c>
      <c r="U251" s="453" t="str">
        <f>IF(Účetní_závěrka!E85&lt;&gt;"",ABS(Účetní_závěrka!E85),"")</f>
        <v/>
      </c>
      <c r="V251" s="453" t="str">
        <f>IF(Účetní_závěrka!F85&lt;&gt;"",Účetní_závěrka!F85,"")</f>
        <v/>
      </c>
      <c r="W251" s="453" t="str">
        <f>IF(Účetní_závěrka!G85&lt;&gt;"",Účetní_závěrka!G85,"")</f>
        <v/>
      </c>
      <c r="Y251">
        <v>70</v>
      </c>
    </row>
    <row r="252" spans="18:49" ht="15" hidden="1" customHeight="1">
      <c r="R252" s="342">
        <f t="shared" si="17"/>
        <v>1</v>
      </c>
      <c r="S252" s="452">
        <f t="shared" si="14"/>
        <v>71</v>
      </c>
      <c r="T252" s="453" t="str">
        <f>IF(Účetní_závěrka!D86&lt;&gt;"",Účetní_závěrka!D86,"")</f>
        <v/>
      </c>
      <c r="U252" s="453" t="str">
        <f>IF(Účetní_závěrka!E86&lt;&gt;"",ABS(Účetní_závěrka!E86),"")</f>
        <v/>
      </c>
      <c r="V252" s="453" t="str">
        <f>IF(Účetní_závěrka!F86&lt;&gt;"",Účetní_závěrka!F86,"")</f>
        <v/>
      </c>
      <c r="W252" s="453" t="str">
        <f>IF(Účetní_závěrka!G86&lt;&gt;"",Účetní_závěrka!G86,"")</f>
        <v/>
      </c>
      <c r="Y252">
        <v>71</v>
      </c>
    </row>
    <row r="253" spans="18:49" ht="15" hidden="1" customHeight="1">
      <c r="R253" s="342">
        <f t="shared" si="17"/>
        <v>1</v>
      </c>
      <c r="S253" s="452">
        <f t="shared" si="14"/>
        <v>72</v>
      </c>
      <c r="T253" s="453" t="str">
        <f>IF(Účetní_závěrka!D87&lt;&gt;"",Účetní_závěrka!D87,"")</f>
        <v/>
      </c>
      <c r="U253" s="453" t="str">
        <f>IF(Účetní_závěrka!E87&lt;&gt;"",ABS(Účetní_závěrka!E87),"")</f>
        <v/>
      </c>
      <c r="V253" s="453" t="str">
        <f>IF(Účetní_závěrka!F87&lt;&gt;"",Účetní_závěrka!F87,"")</f>
        <v/>
      </c>
      <c r="W253" s="453" t="str">
        <f>IF(Účetní_závěrka!G87&lt;&gt;"",Účetní_závěrka!G87,"")</f>
        <v/>
      </c>
      <c r="Y253">
        <v>72</v>
      </c>
    </row>
    <row r="254" spans="18:49" ht="15" hidden="1" customHeight="1">
      <c r="R254" s="342">
        <f t="shared" si="17"/>
        <v>1</v>
      </c>
      <c r="S254" s="452">
        <f t="shared" si="14"/>
        <v>73</v>
      </c>
      <c r="T254" s="453" t="str">
        <f>IF(Účetní_závěrka!D88&lt;&gt;"",Účetní_závěrka!D88,"")</f>
        <v/>
      </c>
      <c r="U254" s="453" t="str">
        <f>IF(Účetní_závěrka!E88&lt;&gt;"",ABS(Účetní_závěrka!E88),"")</f>
        <v/>
      </c>
      <c r="V254" s="453" t="str">
        <f>IF(Účetní_závěrka!F88&lt;&gt;"",Účetní_závěrka!F88,"")</f>
        <v/>
      </c>
      <c r="W254" s="453" t="str">
        <f>IF(Účetní_závěrka!G88&lt;&gt;"",Účetní_závěrka!G88,"")</f>
        <v/>
      </c>
      <c r="Y254">
        <v>73</v>
      </c>
    </row>
    <row r="255" spans="18:49" ht="15" hidden="1" customHeight="1">
      <c r="R255" s="342">
        <f t="shared" ref="R255:R258" si="19">$Q$178</f>
        <v>1</v>
      </c>
      <c r="S255" s="566">
        <f t="shared" ref="S255:S258" si="20">IF($B$38="P",Y255,IF($B$38="Z",IF(Z255&lt;&gt;"",Z255,""),IF($B$38="M",IF(AA255&lt;&gt;"",AA255,""),Y255)))</f>
        <v>74</v>
      </c>
      <c r="T255" s="453" t="str">
        <f>IF(Účetní_závěrka!D89&lt;&gt;"",Účetní_závěrka!D89,"")</f>
        <v/>
      </c>
      <c r="U255" s="453" t="str">
        <f>IF(Účetní_závěrka!E89&lt;&gt;"",ABS(Účetní_závěrka!E89),"")</f>
        <v/>
      </c>
      <c r="V255" s="453" t="str">
        <f>IF(Účetní_závěrka!F89&lt;&gt;"",Účetní_závěrka!F89,"")</f>
        <v/>
      </c>
      <c r="W255" s="453" t="str">
        <f>IF(Účetní_závěrka!G89&lt;&gt;"",Účetní_závěrka!G89,"")</f>
        <v/>
      </c>
      <c r="Y255">
        <v>74</v>
      </c>
    </row>
    <row r="256" spans="18:49" ht="15" hidden="1" customHeight="1">
      <c r="R256" s="342">
        <f t="shared" si="19"/>
        <v>1</v>
      </c>
      <c r="S256" s="566">
        <f t="shared" si="20"/>
        <v>75</v>
      </c>
      <c r="T256" s="453" t="str">
        <f>IF(Účetní_závěrka!D90&lt;&gt;"",Účetní_závěrka!D90,"")</f>
        <v/>
      </c>
      <c r="U256" s="453" t="str">
        <f>IF(Účetní_závěrka!E90&lt;&gt;"",ABS(Účetní_závěrka!E90),"")</f>
        <v/>
      </c>
      <c r="V256" s="453" t="str">
        <f>IF(Účetní_závěrka!F90&lt;&gt;"",Účetní_závěrka!F90,"")</f>
        <v/>
      </c>
      <c r="W256" s="453" t="str">
        <f>IF(Účetní_závěrka!G90&lt;&gt;"",Účetní_závěrka!G90,"")</f>
        <v/>
      </c>
      <c r="Y256">
        <v>75</v>
      </c>
    </row>
    <row r="257" spans="17:25" ht="15" hidden="1" customHeight="1">
      <c r="R257" s="342">
        <f t="shared" si="19"/>
        <v>1</v>
      </c>
      <c r="S257" s="566">
        <f t="shared" si="20"/>
        <v>76</v>
      </c>
      <c r="T257" s="453" t="str">
        <f>IF(Účetní_závěrka!D91&lt;&gt;"",Účetní_závěrka!D91,"")</f>
        <v/>
      </c>
      <c r="U257" s="453" t="str">
        <f>IF(Účetní_závěrka!E91&lt;&gt;"",ABS(Účetní_závěrka!E91),"")</f>
        <v/>
      </c>
      <c r="V257" s="453" t="str">
        <f>IF(Účetní_závěrka!F91&lt;&gt;"",Účetní_závěrka!F91,"")</f>
        <v/>
      </c>
      <c r="W257" s="453" t="str">
        <f>IF(Účetní_závěrka!G91&lt;&gt;"",Účetní_závěrka!G91,"")</f>
        <v/>
      </c>
      <c r="Y257">
        <v>76</v>
      </c>
    </row>
    <row r="258" spans="17:25" ht="15" hidden="1" customHeight="1">
      <c r="R258" s="342">
        <f t="shared" si="19"/>
        <v>1</v>
      </c>
      <c r="S258" s="566">
        <f t="shared" si="20"/>
        <v>77</v>
      </c>
      <c r="T258" s="453" t="str">
        <f>IF(Účetní_závěrka!D92&lt;&gt;"",Účetní_závěrka!D92,"")</f>
        <v/>
      </c>
      <c r="U258" s="453" t="str">
        <f>IF(Účetní_závěrka!E92&lt;&gt;"",ABS(Účetní_závěrka!E92),"")</f>
        <v/>
      </c>
      <c r="V258" s="453" t="str">
        <f>IF(Účetní_závěrka!F92&lt;&gt;"",Účetní_závěrka!F92,"")</f>
        <v/>
      </c>
      <c r="W258" s="453" t="str">
        <f>IF(Účetní_závěrka!G92&lt;&gt;"",Účetní_závěrka!G92,"")</f>
        <v/>
      </c>
      <c r="Y258">
        <v>77</v>
      </c>
    </row>
    <row r="271" spans="17:25" ht="15" hidden="1" customHeight="1">
      <c r="Q271" t="s">
        <v>731</v>
      </c>
      <c r="R271" s="277" t="s">
        <v>721</v>
      </c>
      <c r="S271" s="280" t="s">
        <v>722</v>
      </c>
      <c r="T271" s="280" t="s">
        <v>723</v>
      </c>
      <c r="U271" s="280" t="s">
        <v>724</v>
      </c>
      <c r="V271" s="280" t="s">
        <v>725</v>
      </c>
      <c r="W271" s="280" t="s">
        <v>726</v>
      </c>
      <c r="X271" s="280" t="s">
        <v>733</v>
      </c>
    </row>
    <row r="272" spans="17:25" ht="15" hidden="1" customHeight="1">
      <c r="X272" s="278"/>
    </row>
    <row r="281" spans="17:22" ht="15" hidden="1" customHeight="1">
      <c r="Q281" t="s">
        <v>732</v>
      </c>
      <c r="R281" s="277" t="s">
        <v>721</v>
      </c>
      <c r="S281" s="280" t="s">
        <v>722</v>
      </c>
      <c r="T281" s="280" t="s">
        <v>727</v>
      </c>
      <c r="U281" s="280" t="s">
        <v>728</v>
      </c>
      <c r="V281" s="280" t="s">
        <v>733</v>
      </c>
    </row>
    <row r="282" spans="17:22" ht="15" hidden="1" customHeight="1">
      <c r="V282" s="278"/>
    </row>
    <row r="291" spans="17:21" ht="15" hidden="1" customHeight="1">
      <c r="Q291" t="s">
        <v>738</v>
      </c>
      <c r="R291" s="277" t="s">
        <v>734</v>
      </c>
      <c r="S291" s="280" t="s">
        <v>735</v>
      </c>
      <c r="T291" s="280" t="s">
        <v>736</v>
      </c>
      <c r="U291" s="280" t="s">
        <v>737</v>
      </c>
    </row>
    <row r="292" spans="17:21" ht="15" hidden="1" customHeight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35" t="str">
        <f>IF('2Př'!C30&lt;&gt;"",LEFT('2Př'!C30,1),"")</f>
        <v/>
      </c>
    </row>
    <row r="294" spans="17:21" ht="15" hidden="1" customHeight="1">
      <c r="R294" s="284" t="s">
        <v>3438</v>
      </c>
      <c r="S294" s="284" t="s">
        <v>3438</v>
      </c>
      <c r="T294" s="284" t="s">
        <v>3438</v>
      </c>
      <c r="U294" s="284" t="s">
        <v>3438</v>
      </c>
    </row>
    <row r="301" spans="17:21" ht="15" hidden="1" customHeight="1">
      <c r="Q301" t="s">
        <v>739</v>
      </c>
      <c r="R301" s="279" t="s">
        <v>740</v>
      </c>
      <c r="S301" s="281" t="s">
        <v>741</v>
      </c>
      <c r="T301" s="281" t="s">
        <v>742</v>
      </c>
      <c r="U301" s="281" t="s">
        <v>743</v>
      </c>
    </row>
    <row r="302" spans="17:21" ht="15" hidden="1" customHeight="1">
      <c r="S302" s="278"/>
      <c r="T302" s="278"/>
      <c r="U302" s="278"/>
    </row>
    <row r="311" spans="17:22" ht="15" hidden="1" customHeight="1">
      <c r="Q311" t="s">
        <v>744</v>
      </c>
      <c r="R311" t="s">
        <v>740</v>
      </c>
      <c r="S311" t="s">
        <v>741</v>
      </c>
      <c r="T311" t="s">
        <v>742</v>
      </c>
      <c r="U311" t="s">
        <v>743</v>
      </c>
      <c r="V311" t="s">
        <v>745</v>
      </c>
    </row>
    <row r="312" spans="17:22" ht="15" hidden="1" customHeight="1">
      <c r="S312" s="278"/>
      <c r="T312" s="278"/>
      <c r="U312" s="278"/>
      <c r="V312" s="278"/>
    </row>
  </sheetData>
  <sheetProtection algorithmName="SHA-512" hashValue="yeUWHbPBmmHihgUKfvxRDfdIHSuLKmRWayMV+A2VWOA/ZFiL8Ah5hR8dFIlzqIBoOkDQA8YudOPY6cxneYGqWg==" saltValue="8ENiny+z9r/bF+9kcIyt5g==" spinCount="100000" sheet="1" objects="1" scenarios="1"/>
  <pageMargins left="0.7" right="0.7" top="0.78740157499999996" bottom="0.78740157499999996" header="0.3" footer="0.3"/>
  <pageSetup paperSize="9" orientation="portrait" r:id="rId1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119"/>
  <sheetViews>
    <sheetView zoomScaleNormal="100" workbookViewId="0">
      <selection activeCell="A8" sqref="A8:G8"/>
    </sheetView>
  </sheetViews>
  <sheetFormatPr defaultColWidth="8.85546875" defaultRowHeight="12"/>
  <cols>
    <col min="1" max="1" width="6.140625" style="378" customWidth="1"/>
    <col min="2" max="4" width="16.7109375" style="378" customWidth="1"/>
    <col min="5" max="7" width="17.7109375" style="378" customWidth="1"/>
    <col min="8" max="16384" width="8.85546875" style="378"/>
  </cols>
  <sheetData>
    <row r="1" spans="1:7" ht="15" customHeight="1">
      <c r="A1" s="1659"/>
      <c r="B1" s="1659"/>
      <c r="C1" s="1659"/>
      <c r="D1" s="1659"/>
      <c r="E1" s="1659"/>
      <c r="F1" s="1659"/>
      <c r="G1" s="1659"/>
    </row>
    <row r="2" spans="1:7" ht="26.45" customHeight="1">
      <c r="A2" s="1720" t="s">
        <v>3599</v>
      </c>
      <c r="B2" s="1720"/>
      <c r="C2" s="1720"/>
      <c r="D2" s="1720"/>
      <c r="E2" s="1720"/>
      <c r="F2" s="1720"/>
      <c r="G2" s="1720"/>
    </row>
    <row r="3" spans="1:7" ht="15" customHeight="1">
      <c r="A3" s="1710" t="s">
        <v>3600</v>
      </c>
      <c r="B3" s="1710"/>
      <c r="C3" s="1710"/>
      <c r="D3" s="1710"/>
      <c r="E3" s="1710"/>
      <c r="F3" s="1710"/>
      <c r="G3" s="1710"/>
    </row>
    <row r="4" spans="1:7" ht="15" customHeight="1">
      <c r="A4" s="1710" t="s">
        <v>3700</v>
      </c>
      <c r="B4" s="1710"/>
      <c r="C4" s="1710"/>
      <c r="D4" s="1710"/>
      <c r="E4" s="1710"/>
      <c r="F4" s="1710"/>
      <c r="G4" s="1710"/>
    </row>
    <row r="5" spans="1:7" ht="15" customHeight="1">
      <c r="A5" s="1721" t="s">
        <v>3601</v>
      </c>
      <c r="B5" s="1721"/>
      <c r="C5" s="1721"/>
      <c r="D5" s="1721"/>
      <c r="E5" s="1721"/>
      <c r="F5" s="1721"/>
      <c r="G5" s="1721"/>
    </row>
    <row r="6" spans="1:7" ht="15" customHeight="1" thickBot="1">
      <c r="A6" s="1722"/>
      <c r="B6" s="1722"/>
      <c r="C6" s="1722"/>
      <c r="D6" s="1722"/>
      <c r="E6" s="1722"/>
      <c r="F6" s="1722"/>
      <c r="G6" s="1722"/>
    </row>
    <row r="7" spans="1:7" ht="15" customHeight="1">
      <c r="A7" s="1714" t="s">
        <v>3602</v>
      </c>
      <c r="B7" s="1715"/>
      <c r="C7" s="1715"/>
      <c r="D7" s="1715"/>
      <c r="E7" s="1061"/>
      <c r="F7" s="1061"/>
      <c r="G7" s="1716"/>
    </row>
    <row r="8" spans="1:7" ht="18" customHeight="1">
      <c r="A8" s="1711" t="s">
        <v>176</v>
      </c>
      <c r="B8" s="1712"/>
      <c r="C8" s="1712"/>
      <c r="D8" s="1712"/>
      <c r="E8" s="1712"/>
      <c r="F8" s="1712"/>
      <c r="G8" s="1713"/>
    </row>
    <row r="9" spans="1:7" ht="15" customHeight="1">
      <c r="A9" s="1717" t="s">
        <v>3603</v>
      </c>
      <c r="B9" s="1718"/>
      <c r="C9" s="1718"/>
      <c r="D9" s="1718"/>
      <c r="E9" s="1718"/>
      <c r="F9" s="1718"/>
      <c r="G9" s="1719"/>
    </row>
    <row r="10" spans="1:7" ht="18" customHeight="1">
      <c r="A10" s="1706"/>
      <c r="B10" s="1707"/>
      <c r="C10" s="1707"/>
      <c r="D10" s="1707"/>
      <c r="E10" s="1707"/>
      <c r="F10" s="1707"/>
      <c r="G10" s="1708"/>
    </row>
    <row r="11" spans="1:7" ht="15" customHeight="1">
      <c r="A11" s="1717" t="s">
        <v>3604</v>
      </c>
      <c r="B11" s="1718"/>
      <c r="C11" s="1718"/>
      <c r="D11" s="1718"/>
      <c r="E11" s="1718"/>
      <c r="F11" s="1718"/>
      <c r="G11" s="1719"/>
    </row>
    <row r="12" spans="1:7" ht="18" customHeight="1">
      <c r="A12" s="1706"/>
      <c r="B12" s="1707"/>
      <c r="C12" s="1707"/>
      <c r="D12" s="1707"/>
      <c r="E12" s="1707"/>
      <c r="F12" s="1707"/>
      <c r="G12" s="1708"/>
    </row>
    <row r="13" spans="1:7" ht="5.0999999999999996" customHeight="1" thickBot="1">
      <c r="A13" s="1740"/>
      <c r="B13" s="1741"/>
      <c r="C13" s="1741"/>
      <c r="D13" s="1742"/>
      <c r="E13" s="1742"/>
      <c r="F13" s="1742"/>
      <c r="G13" s="1743"/>
    </row>
    <row r="14" spans="1:7" ht="5.0999999999999996" customHeight="1">
      <c r="A14" s="1709"/>
      <c r="B14" s="1709"/>
      <c r="C14" s="1709"/>
      <c r="D14" s="1709"/>
      <c r="E14" s="1709"/>
      <c r="F14" s="1709"/>
      <c r="G14" s="1709"/>
    </row>
    <row r="15" spans="1:7" ht="18" customHeight="1">
      <c r="A15" s="1731" t="s">
        <v>3701</v>
      </c>
      <c r="B15" s="1731"/>
      <c r="C15" s="1732"/>
      <c r="D15" s="1732"/>
      <c r="E15" s="1732"/>
      <c r="F15" s="445">
        <f>+'DAP1'!F24</f>
        <v>2021</v>
      </c>
      <c r="G15" s="437" t="s">
        <v>3702</v>
      </c>
    </row>
    <row r="16" spans="1:7" ht="5.0999999999999996" customHeight="1" thickBot="1">
      <c r="A16" s="1691"/>
      <c r="B16" s="1691"/>
      <c r="C16" s="1692"/>
      <c r="D16" s="1692"/>
      <c r="E16" s="1692"/>
      <c r="F16" s="1692"/>
      <c r="G16" s="1692"/>
    </row>
    <row r="17" spans="1:11" ht="15" customHeight="1">
      <c r="A17" s="1714" t="s">
        <v>98</v>
      </c>
      <c r="B17" s="1715"/>
      <c r="C17" s="1737"/>
      <c r="D17" s="1737"/>
      <c r="E17" s="1061"/>
      <c r="F17" s="1744" t="s">
        <v>97</v>
      </c>
      <c r="G17" s="1745"/>
    </row>
    <row r="18" spans="1:11" ht="18" customHeight="1">
      <c r="A18" s="1733" t="str">
        <f>+IF(ISBLANK('DAP2'!C44)," ",IF(EXACT(MID('DAP2'!C44,1,1)," ")," ",+MID('DAP2'!C44,1,+FIND(" ",'DAP2'!C44))))</f>
        <v xml:space="preserve"> </v>
      </c>
      <c r="B18" s="1734"/>
      <c r="C18" s="1735"/>
      <c r="D18" s="1736"/>
      <c r="E18" s="415"/>
      <c r="F18" s="1738" t="str">
        <f>+IF(ISBLANK('DAP2'!C44)," ",IF(EXACT(MID('DAP2'!C44,1,1)," ")," ",+MID('DAP2'!C44,+FIND(" ",'DAP2'!C44)+1,20)))</f>
        <v xml:space="preserve"> </v>
      </c>
      <c r="G18" s="1739"/>
    </row>
    <row r="19" spans="1:11" ht="15" customHeight="1">
      <c r="A19" s="1723" t="s">
        <v>148</v>
      </c>
      <c r="B19" s="1749"/>
      <c r="C19" s="1750"/>
      <c r="D19" s="1750"/>
      <c r="E19" s="1718" t="s">
        <v>3605</v>
      </c>
      <c r="F19" s="1352"/>
      <c r="G19" s="1751"/>
    </row>
    <row r="20" spans="1:11" ht="18" customHeight="1">
      <c r="A20" s="1746" t="str">
        <f>+CONCATENATE('DAP2'!H44)</f>
        <v/>
      </c>
      <c r="B20" s="1747"/>
      <c r="C20" s="1748"/>
      <c r="D20" s="438"/>
      <c r="E20" s="1752" t="str">
        <f>+CONCATENATE(ZAKL_DATA!B16," ",ZAKL_DATA!B17,", ",ZAKL_DATA!B18)</f>
        <v xml:space="preserve"> , </v>
      </c>
      <c r="F20" s="1688"/>
      <c r="G20" s="1689"/>
    </row>
    <row r="21" spans="1:11" ht="15" customHeight="1">
      <c r="A21" s="1682"/>
      <c r="B21" s="1683"/>
      <c r="C21" s="1684"/>
      <c r="D21" s="1684"/>
      <c r="E21" s="1684"/>
      <c r="F21" s="1684"/>
      <c r="G21" s="1685"/>
    </row>
    <row r="22" spans="1:11" ht="18" customHeight="1">
      <c r="A22" s="1686"/>
      <c r="B22" s="1687"/>
      <c r="C22" s="1687"/>
      <c r="D22" s="1688"/>
      <c r="E22" s="1688"/>
      <c r="F22" s="1688"/>
      <c r="G22" s="1689"/>
    </row>
    <row r="23" spans="1:11" ht="15" customHeight="1">
      <c r="A23" s="1723"/>
      <c r="B23" s="1724"/>
      <c r="C23" s="1724"/>
      <c r="D23" s="1724"/>
      <c r="E23" s="1724"/>
      <c r="F23" s="1724"/>
      <c r="G23" s="446" t="s">
        <v>43</v>
      </c>
    </row>
    <row r="24" spans="1:11" ht="18" customHeight="1">
      <c r="A24" s="1686"/>
      <c r="B24" s="1687"/>
      <c r="C24" s="1725"/>
      <c r="D24" s="1725"/>
      <c r="E24" s="1726"/>
      <c r="F24" s="417"/>
      <c r="G24" s="444" t="str">
        <f>+CONCATENATE(ZAKL_DATA!B19)</f>
        <v/>
      </c>
    </row>
    <row r="25" spans="1:11" ht="9" customHeight="1" thickBot="1">
      <c r="A25" s="1727"/>
      <c r="B25" s="1728"/>
      <c r="C25" s="1728"/>
      <c r="D25" s="1728"/>
      <c r="E25" s="1729"/>
      <c r="F25" s="1729"/>
      <c r="G25" s="1730"/>
    </row>
    <row r="26" spans="1:11" ht="10.9" customHeight="1">
      <c r="A26" s="1690"/>
      <c r="B26" s="1690"/>
      <c r="C26" s="1690"/>
      <c r="D26" s="1690"/>
      <c r="E26" s="1690"/>
      <c r="F26" s="1690"/>
      <c r="G26" s="1690"/>
    </row>
    <row r="27" spans="1:11" ht="15" customHeight="1">
      <c r="A27" s="447" t="s">
        <v>3703</v>
      </c>
      <c r="B27" s="445">
        <f>+F15</f>
        <v>2021</v>
      </c>
      <c r="C27" s="439" t="s">
        <v>3706</v>
      </c>
      <c r="D27" s="1731" t="s">
        <v>3704</v>
      </c>
      <c r="E27" s="827"/>
      <c r="F27" s="827"/>
      <c r="G27" s="827"/>
    </row>
    <row r="28" spans="1:11" ht="15" customHeight="1" thickBot="1">
      <c r="A28" s="1691" t="s">
        <v>3705</v>
      </c>
      <c r="B28" s="1691"/>
      <c r="C28" s="1692"/>
      <c r="D28" s="1692"/>
      <c r="E28" s="1692"/>
      <c r="F28" s="1692"/>
      <c r="G28" s="1692"/>
      <c r="H28" s="379"/>
      <c r="I28" s="379"/>
      <c r="J28" s="379"/>
      <c r="K28" s="379"/>
    </row>
    <row r="29" spans="1:11" ht="25.9" customHeight="1">
      <c r="A29" s="380"/>
      <c r="B29" s="381" t="s">
        <v>98</v>
      </c>
      <c r="C29" s="381" t="s">
        <v>97</v>
      </c>
      <c r="D29" s="381" t="s">
        <v>148</v>
      </c>
      <c r="E29" s="416" t="s">
        <v>3482</v>
      </c>
      <c r="F29" s="416" t="s">
        <v>3483</v>
      </c>
      <c r="G29" s="382" t="s">
        <v>3707</v>
      </c>
      <c r="H29" s="383"/>
    </row>
    <row r="30" spans="1:11" ht="18" customHeight="1">
      <c r="A30" s="448">
        <v>1</v>
      </c>
      <c r="B30" s="440" t="str">
        <f>+IF(EXACT(MID('DAP3'!B17,1,1),"x")," ",(MID('DAP3'!B17,1,+FIND(" ",'DAP3'!B17))))</f>
        <v xml:space="preserve"> </v>
      </c>
      <c r="C30" s="384" t="str">
        <f>+IF(EXACT(MID('DAP3'!B17,1,1),"x")," ",(MID('DAP3'!B17,+FIND(" ",'DAP3'!B17)+1,20)))</f>
        <v xml:space="preserve"> </v>
      </c>
      <c r="D30" s="384" t="str">
        <f>+IF(EXACT(MID('DAP3'!C17,1,1),"X")," ",CONCATENATE('DAP3'!D17))</f>
        <v/>
      </c>
      <c r="E30" s="443"/>
      <c r="F30" s="443"/>
      <c r="G30" s="385"/>
    </row>
    <row r="31" spans="1:11" ht="18" customHeight="1">
      <c r="A31" s="448">
        <v>2</v>
      </c>
      <c r="B31" s="440" t="str">
        <f>+IF(EXACT(MID('DAP3'!B18,1,1),"x")," ",(MID('DAP3'!B18,1,+FIND(" ",'DAP3'!B18))))</f>
        <v xml:space="preserve"> </v>
      </c>
      <c r="C31" s="384" t="str">
        <f>+IF(EXACT(MID('DAP3'!B18,1,1),"x")," ",(MID('DAP3'!B18,+FIND(" ",'DAP3'!B18)+1,20)))</f>
        <v xml:space="preserve"> </v>
      </c>
      <c r="D31" s="384" t="str">
        <f>+IF(EXACT(MID('DAP3'!C18,1,1),"X")," ",CONCATENATE('DAP3'!D18))</f>
        <v/>
      </c>
      <c r="E31" s="443"/>
      <c r="F31" s="443"/>
      <c r="G31" s="385"/>
    </row>
    <row r="32" spans="1:11" ht="18" customHeight="1">
      <c r="A32" s="448">
        <v>3</v>
      </c>
      <c r="B32" s="440" t="str">
        <f>+IF(EXACT(MID('DAP3'!B19,1,1),"x")," ",(MID('DAP3'!B19,1,+FIND(" ",'DAP3'!B19))))</f>
        <v xml:space="preserve"> </v>
      </c>
      <c r="C32" s="384" t="str">
        <f>+IF(EXACT(MID('DAP3'!B19,1,1),"x")," ",(MID('DAP3'!B19,+FIND(" ",'DAP3'!B19)+1,20)))</f>
        <v xml:space="preserve"> </v>
      </c>
      <c r="D32" s="384" t="str">
        <f>+IF(EXACT(MID('DAP3'!C19,1,1),"X")," ",CONCATENATE('DAP3'!D19))</f>
        <v/>
      </c>
      <c r="E32" s="443"/>
      <c r="F32" s="443"/>
      <c r="G32" s="385"/>
    </row>
    <row r="33" spans="1:7" ht="18" customHeight="1">
      <c r="A33" s="448">
        <v>4</v>
      </c>
      <c r="B33" s="440" t="str">
        <f>+IF(EXACT(MID('DAP3'!B20,1,1),"x")," ",(MID('DAP3'!B20,1,+FIND(" ",'DAP3'!B20))))</f>
        <v xml:space="preserve"> </v>
      </c>
      <c r="C33" s="384" t="str">
        <f>+IF(EXACT(MID('DAP3'!B20,1,1),"x")," ",(MID('DAP3'!B20,+FIND(" ",'DAP3'!B20)+1,20)))</f>
        <v xml:space="preserve"> </v>
      </c>
      <c r="D33" s="384" t="str">
        <f>+IF(EXACT(MID('DAP3'!C20,1,1),"X")," ",CONCATENATE('DAP3'!D20))</f>
        <v/>
      </c>
      <c r="E33" s="443"/>
      <c r="F33" s="443"/>
      <c r="G33" s="385"/>
    </row>
    <row r="34" spans="1:7" ht="18" customHeight="1">
      <c r="A34" s="449" t="s">
        <v>3708</v>
      </c>
      <c r="B34" s="441"/>
      <c r="C34" s="386"/>
      <c r="D34" s="387"/>
      <c r="E34" s="387"/>
      <c r="F34" s="387"/>
      <c r="G34" s="385"/>
    </row>
    <row r="35" spans="1:7" ht="18" customHeight="1">
      <c r="A35" s="449" t="s">
        <v>3709</v>
      </c>
      <c r="B35" s="441"/>
      <c r="C35" s="386"/>
      <c r="D35" s="387"/>
      <c r="E35" s="387"/>
      <c r="F35" s="387"/>
      <c r="G35" s="385"/>
    </row>
    <row r="36" spans="1:7" ht="18" customHeight="1" thickBot="1">
      <c r="A36" s="450"/>
      <c r="B36" s="442"/>
      <c r="C36" s="388"/>
      <c r="D36" s="389"/>
      <c r="E36" s="389"/>
      <c r="F36" s="389"/>
      <c r="G36" s="390"/>
    </row>
    <row r="37" spans="1:7" ht="15" customHeight="1">
      <c r="A37" s="1695"/>
      <c r="B37" s="1695"/>
      <c r="C37" s="1695"/>
      <c r="D37" s="1695"/>
      <c r="E37" s="1695"/>
      <c r="F37" s="1695"/>
      <c r="G37" s="1695"/>
    </row>
    <row r="38" spans="1:7" ht="15" customHeight="1">
      <c r="A38" s="1659"/>
      <c r="B38" s="1659"/>
      <c r="C38" s="1659"/>
      <c r="D38" s="1659"/>
      <c r="E38" s="1659"/>
      <c r="F38" s="1659"/>
      <c r="G38" s="1659"/>
    </row>
    <row r="39" spans="1:7" ht="15" customHeight="1">
      <c r="A39" s="1659"/>
      <c r="B39" s="1659"/>
      <c r="C39" s="1659"/>
      <c r="D39" s="1659"/>
      <c r="E39" s="1659"/>
      <c r="F39" s="1659"/>
      <c r="G39" s="1659"/>
    </row>
    <row r="40" spans="1:7" ht="15" customHeight="1">
      <c r="A40" s="1696" t="s">
        <v>3606</v>
      </c>
      <c r="B40" s="1696"/>
      <c r="C40" s="1696"/>
      <c r="D40" s="1696"/>
      <c r="E40" s="1696"/>
      <c r="F40" s="1696"/>
      <c r="G40" s="1696"/>
    </row>
    <row r="41" spans="1:7" ht="15" customHeight="1">
      <c r="A41" s="391" t="s">
        <v>3607</v>
      </c>
      <c r="B41" s="391"/>
      <c r="C41" s="1697"/>
      <c r="D41" s="1698"/>
      <c r="E41" s="392" t="s">
        <v>3608</v>
      </c>
      <c r="F41" s="1670"/>
      <c r="G41" s="1672"/>
    </row>
    <row r="42" spans="1:7" ht="15" customHeight="1">
      <c r="A42" s="1668"/>
      <c r="B42" s="1668"/>
      <c r="C42" s="1668"/>
      <c r="D42" s="1668"/>
      <c r="E42" s="1668"/>
      <c r="F42" s="1668"/>
      <c r="G42" s="1668"/>
    </row>
    <row r="43" spans="1:7" ht="15" customHeight="1">
      <c r="A43" s="1699" t="s">
        <v>3609</v>
      </c>
      <c r="B43" s="1700"/>
      <c r="C43" s="1699"/>
      <c r="D43" s="1699"/>
      <c r="E43" s="392" t="s">
        <v>3710</v>
      </c>
      <c r="F43" s="1701"/>
      <c r="G43" s="1702"/>
    </row>
    <row r="44" spans="1:7" ht="15" customHeight="1">
      <c r="A44" s="1703"/>
      <c r="B44" s="1704"/>
      <c r="C44" s="1704"/>
      <c r="D44" s="1705"/>
      <c r="E44" s="1667"/>
      <c r="F44" s="1668"/>
      <c r="G44" s="1668"/>
    </row>
    <row r="45" spans="1:7" ht="15" customHeight="1">
      <c r="A45" s="1660"/>
      <c r="B45" s="1661"/>
      <c r="C45" s="1661"/>
      <c r="D45" s="1662"/>
      <c r="E45" s="392" t="s">
        <v>3610</v>
      </c>
      <c r="F45" s="1693">
        <f ca="1">TODAY()</f>
        <v>44720</v>
      </c>
      <c r="G45" s="1694"/>
    </row>
    <row r="46" spans="1:7" ht="15" customHeight="1">
      <c r="A46" s="1660"/>
      <c r="B46" s="1661"/>
      <c r="C46" s="1661"/>
      <c r="D46" s="1662"/>
      <c r="E46" s="392"/>
      <c r="F46" s="393"/>
      <c r="G46" s="393"/>
    </row>
    <row r="47" spans="1:7" ht="15" customHeight="1">
      <c r="A47" s="1663"/>
      <c r="B47" s="1664"/>
      <c r="C47" s="1665"/>
      <c r="D47" s="1666"/>
      <c r="E47" s="1667"/>
      <c r="F47" s="1668"/>
      <c r="G47" s="1668"/>
    </row>
    <row r="48" spans="1:7" ht="15" customHeight="1">
      <c r="A48" s="1669" t="s">
        <v>3611</v>
      </c>
      <c r="B48" s="1669"/>
      <c r="C48" s="1669"/>
      <c r="D48" s="1669"/>
      <c r="E48" s="1669"/>
      <c r="F48" s="1669"/>
      <c r="G48" s="1669"/>
    </row>
    <row r="49" spans="1:12" ht="15" customHeight="1">
      <c r="A49" s="1670" t="s">
        <v>176</v>
      </c>
      <c r="B49" s="1671"/>
      <c r="C49" s="1672"/>
      <c r="D49" s="394"/>
      <c r="E49" s="1673" t="s">
        <v>3612</v>
      </c>
      <c r="F49" s="1674"/>
      <c r="G49" s="1675"/>
    </row>
    <row r="50" spans="1:12">
      <c r="A50" s="1656"/>
      <c r="B50" s="1657"/>
      <c r="C50" s="1657"/>
      <c r="D50" s="414"/>
      <c r="E50" s="1676"/>
      <c r="F50" s="1677"/>
      <c r="G50" s="1678"/>
    </row>
    <row r="51" spans="1:12">
      <c r="A51" s="820"/>
      <c r="B51" s="820"/>
      <c r="C51" s="820"/>
      <c r="D51" s="414"/>
      <c r="E51" s="1676"/>
      <c r="F51" s="1677"/>
      <c r="G51" s="1678"/>
    </row>
    <row r="52" spans="1:12">
      <c r="A52" s="820"/>
      <c r="B52" s="820"/>
      <c r="C52" s="820"/>
      <c r="D52" s="414" t="s">
        <v>3499</v>
      </c>
      <c r="E52" s="1679"/>
      <c r="F52" s="1680"/>
      <c r="G52" s="1681"/>
    </row>
    <row r="53" spans="1:12">
      <c r="A53" s="414"/>
      <c r="B53" s="414"/>
      <c r="C53" s="414"/>
      <c r="D53" s="414"/>
      <c r="E53" s="1655"/>
      <c r="F53" s="1655"/>
      <c r="G53" s="1655"/>
    </row>
    <row r="54" spans="1:12">
      <c r="A54" s="1658" t="s">
        <v>3979</v>
      </c>
      <c r="B54" s="1658"/>
      <c r="C54" s="1658"/>
      <c r="D54" s="1658"/>
      <c r="E54" s="1658"/>
      <c r="F54" s="1658"/>
      <c r="G54" s="1658"/>
    </row>
    <row r="55" spans="1:12">
      <c r="A55" s="1659"/>
      <c r="B55" s="1659"/>
      <c r="C55" s="1659"/>
      <c r="D55" s="1659"/>
      <c r="E55" s="1659"/>
      <c r="F55" s="1659"/>
      <c r="G55" s="1659"/>
    </row>
    <row r="56" spans="1:12">
      <c r="A56" s="1659"/>
      <c r="B56" s="1659"/>
      <c r="C56" s="1659"/>
      <c r="D56" s="1659"/>
      <c r="E56" s="1659"/>
      <c r="F56" s="1659"/>
      <c r="G56" s="1659"/>
    </row>
    <row r="57" spans="1:12" ht="12.75">
      <c r="A57" s="1653" t="s">
        <v>3613</v>
      </c>
      <c r="B57" s="1653"/>
      <c r="C57" s="1653"/>
      <c r="D57" s="1653"/>
      <c r="E57" s="1653"/>
      <c r="F57" s="1653"/>
      <c r="G57" s="1653"/>
      <c r="H57" s="395"/>
      <c r="I57" s="395"/>
      <c r="J57" s="395"/>
      <c r="K57" s="395"/>
      <c r="L57" s="395"/>
    </row>
    <row r="58" spans="1:12" ht="66.75" customHeight="1">
      <c r="A58" s="1654" t="s">
        <v>3711</v>
      </c>
      <c r="B58" s="1654"/>
      <c r="C58" s="1654"/>
      <c r="D58" s="1654"/>
      <c r="E58" s="1654"/>
      <c r="F58" s="1654"/>
      <c r="G58" s="1654"/>
      <c r="H58" s="396"/>
      <c r="I58" s="396"/>
      <c r="J58" s="396"/>
      <c r="K58" s="396"/>
      <c r="L58" s="396"/>
    </row>
    <row r="59" spans="1:12">
      <c r="A59" s="397"/>
      <c r="B59" s="397"/>
      <c r="C59" s="397"/>
      <c r="D59" s="397"/>
      <c r="E59" s="397"/>
      <c r="F59" s="397"/>
      <c r="G59" s="397"/>
    </row>
    <row r="60" spans="1:12">
      <c r="A60" s="398"/>
      <c r="B60" s="398"/>
      <c r="C60" s="398"/>
      <c r="D60" s="398"/>
      <c r="E60" s="398"/>
      <c r="F60" s="398"/>
      <c r="G60" s="398"/>
    </row>
    <row r="61" spans="1:12">
      <c r="A61" s="398"/>
      <c r="B61" s="398"/>
      <c r="C61" s="398"/>
      <c r="D61" s="398"/>
      <c r="E61" s="398"/>
      <c r="F61" s="398"/>
      <c r="G61" s="398"/>
    </row>
    <row r="62" spans="1:12">
      <c r="A62" s="398"/>
      <c r="B62" s="398"/>
      <c r="C62" s="398"/>
      <c r="D62" s="398"/>
      <c r="E62" s="398"/>
      <c r="F62" s="398"/>
      <c r="G62" s="398"/>
    </row>
    <row r="63" spans="1:12">
      <c r="A63" s="398"/>
      <c r="B63" s="398"/>
      <c r="C63" s="398"/>
      <c r="D63" s="398"/>
      <c r="E63" s="398"/>
      <c r="F63" s="398"/>
      <c r="G63" s="398"/>
    </row>
    <row r="64" spans="1:12">
      <c r="A64" s="398"/>
      <c r="B64" s="398"/>
      <c r="C64" s="398"/>
      <c r="D64" s="398"/>
      <c r="E64" s="398"/>
      <c r="F64" s="398"/>
      <c r="G64" s="398"/>
    </row>
    <row r="65" spans="1:7">
      <c r="A65" s="398"/>
      <c r="B65" s="398"/>
      <c r="C65" s="398"/>
      <c r="D65" s="398"/>
      <c r="E65" s="398"/>
      <c r="F65" s="398"/>
      <c r="G65" s="398"/>
    </row>
    <row r="66" spans="1:7">
      <c r="A66" s="398"/>
      <c r="B66" s="398"/>
      <c r="C66" s="398"/>
      <c r="D66" s="398"/>
      <c r="E66" s="398"/>
      <c r="F66" s="398"/>
      <c r="G66" s="398"/>
    </row>
    <row r="67" spans="1:7">
      <c r="A67" s="398"/>
      <c r="B67" s="398"/>
      <c r="C67" s="398"/>
      <c r="D67" s="398"/>
      <c r="E67" s="398"/>
      <c r="F67" s="398"/>
      <c r="G67" s="398"/>
    </row>
    <row r="68" spans="1:7">
      <c r="A68" s="398"/>
      <c r="B68" s="398"/>
      <c r="C68" s="398"/>
      <c r="D68" s="398"/>
      <c r="E68" s="398"/>
      <c r="F68" s="398"/>
      <c r="G68" s="398"/>
    </row>
    <row r="69" spans="1:7">
      <c r="A69" s="398"/>
      <c r="B69" s="398"/>
      <c r="C69" s="398"/>
      <c r="D69" s="398"/>
      <c r="E69" s="398"/>
      <c r="F69" s="398"/>
      <c r="G69" s="398"/>
    </row>
    <row r="70" spans="1:7">
      <c r="A70" s="398"/>
      <c r="B70" s="398"/>
      <c r="C70" s="398"/>
      <c r="D70" s="398"/>
      <c r="E70" s="398"/>
      <c r="F70" s="398"/>
      <c r="G70" s="398"/>
    </row>
    <row r="71" spans="1:7">
      <c r="A71" s="398"/>
      <c r="B71" s="398"/>
      <c r="C71" s="398"/>
      <c r="D71" s="398"/>
      <c r="E71" s="398"/>
      <c r="F71" s="398"/>
      <c r="G71" s="398"/>
    </row>
    <row r="72" spans="1:7">
      <c r="A72" s="398"/>
      <c r="B72" s="398"/>
      <c r="C72" s="398"/>
      <c r="D72" s="398"/>
      <c r="E72" s="398"/>
      <c r="F72" s="398"/>
      <c r="G72" s="398"/>
    </row>
    <row r="73" spans="1:7">
      <c r="A73" s="398"/>
      <c r="B73" s="398"/>
      <c r="C73" s="398"/>
      <c r="D73" s="398"/>
      <c r="E73" s="398"/>
      <c r="F73" s="398"/>
      <c r="G73" s="398"/>
    </row>
    <row r="74" spans="1:7">
      <c r="A74" s="398"/>
      <c r="B74" s="398"/>
      <c r="C74" s="398"/>
      <c r="D74" s="398"/>
      <c r="E74" s="398"/>
      <c r="F74" s="398"/>
      <c r="G74" s="398"/>
    </row>
    <row r="75" spans="1:7">
      <c r="A75" s="398"/>
      <c r="B75" s="398"/>
      <c r="C75" s="398"/>
      <c r="D75" s="398"/>
      <c r="E75" s="398"/>
      <c r="F75" s="398"/>
      <c r="G75" s="398"/>
    </row>
    <row r="76" spans="1:7">
      <c r="A76" s="398"/>
      <c r="B76" s="398"/>
      <c r="C76" s="398"/>
      <c r="D76" s="398"/>
      <c r="E76" s="398"/>
      <c r="F76" s="398"/>
      <c r="G76" s="398"/>
    </row>
    <row r="77" spans="1:7">
      <c r="A77" s="398"/>
      <c r="B77" s="398"/>
      <c r="C77" s="398"/>
      <c r="D77" s="398"/>
      <c r="E77" s="398"/>
      <c r="F77" s="398"/>
      <c r="G77" s="398"/>
    </row>
    <row r="78" spans="1:7">
      <c r="A78" s="398"/>
      <c r="B78" s="398"/>
      <c r="C78" s="398"/>
      <c r="D78" s="398"/>
      <c r="E78" s="398"/>
      <c r="F78" s="398"/>
      <c r="G78" s="398"/>
    </row>
    <row r="79" spans="1:7">
      <c r="A79" s="398"/>
      <c r="B79" s="398"/>
      <c r="C79" s="398"/>
      <c r="D79" s="398"/>
      <c r="E79" s="398"/>
      <c r="F79" s="398"/>
      <c r="G79" s="398"/>
    </row>
    <row r="80" spans="1:7">
      <c r="A80" s="398"/>
      <c r="B80" s="398"/>
      <c r="C80" s="398"/>
      <c r="D80" s="398"/>
      <c r="E80" s="398"/>
      <c r="F80" s="398"/>
      <c r="G80" s="398"/>
    </row>
    <row r="81" spans="1:7">
      <c r="A81" s="398"/>
      <c r="B81" s="398"/>
      <c r="C81" s="398"/>
      <c r="D81" s="398"/>
      <c r="E81" s="398"/>
      <c r="F81" s="398"/>
      <c r="G81" s="398"/>
    </row>
    <row r="82" spans="1:7">
      <c r="A82" s="398"/>
      <c r="B82" s="398"/>
      <c r="C82" s="398"/>
      <c r="D82" s="398"/>
      <c r="E82" s="398"/>
      <c r="F82" s="398"/>
      <c r="G82" s="398"/>
    </row>
    <row r="83" spans="1:7">
      <c r="A83" s="398"/>
      <c r="B83" s="398"/>
      <c r="C83" s="398"/>
      <c r="D83" s="398"/>
      <c r="E83" s="398"/>
      <c r="F83" s="398"/>
      <c r="G83" s="398"/>
    </row>
    <row r="84" spans="1:7">
      <c r="A84" s="398"/>
      <c r="B84" s="398"/>
      <c r="C84" s="398"/>
      <c r="D84" s="398"/>
      <c r="E84" s="398"/>
      <c r="F84" s="398"/>
      <c r="G84" s="398"/>
    </row>
    <row r="85" spans="1:7">
      <c r="A85" s="398"/>
      <c r="B85" s="398"/>
      <c r="C85" s="398"/>
      <c r="D85" s="398"/>
      <c r="E85" s="398"/>
      <c r="F85" s="398"/>
      <c r="G85" s="398"/>
    </row>
    <row r="86" spans="1:7">
      <c r="A86" s="398"/>
      <c r="B86" s="398"/>
      <c r="C86" s="398"/>
      <c r="D86" s="398"/>
      <c r="E86" s="398"/>
      <c r="F86" s="398"/>
      <c r="G86" s="398"/>
    </row>
    <row r="87" spans="1:7">
      <c r="A87" s="398"/>
      <c r="B87" s="398"/>
      <c r="C87" s="398"/>
      <c r="D87" s="398"/>
      <c r="E87" s="398"/>
      <c r="F87" s="398"/>
      <c r="G87" s="398"/>
    </row>
    <row r="88" spans="1:7">
      <c r="A88" s="398"/>
      <c r="B88" s="398"/>
      <c r="C88" s="398"/>
      <c r="D88" s="398"/>
      <c r="E88" s="398"/>
      <c r="F88" s="398"/>
      <c r="G88" s="398"/>
    </row>
    <row r="89" spans="1:7">
      <c r="A89" s="398"/>
      <c r="B89" s="398"/>
      <c r="C89" s="398"/>
      <c r="D89" s="398"/>
      <c r="E89" s="398"/>
      <c r="F89" s="398"/>
      <c r="G89" s="398"/>
    </row>
    <row r="90" spans="1:7">
      <c r="A90" s="398"/>
      <c r="B90" s="398"/>
      <c r="C90" s="398"/>
      <c r="D90" s="398"/>
      <c r="E90" s="398"/>
      <c r="F90" s="398"/>
      <c r="G90" s="398"/>
    </row>
    <row r="91" spans="1:7">
      <c r="A91" s="398"/>
      <c r="B91" s="398"/>
      <c r="C91" s="398"/>
      <c r="D91" s="398"/>
      <c r="E91" s="398"/>
      <c r="F91" s="398"/>
      <c r="G91" s="398"/>
    </row>
    <row r="92" spans="1:7">
      <c r="A92" s="398"/>
      <c r="B92" s="398"/>
      <c r="C92" s="398"/>
      <c r="D92" s="398"/>
      <c r="E92" s="398"/>
      <c r="F92" s="398"/>
      <c r="G92" s="398"/>
    </row>
    <row r="93" spans="1:7">
      <c r="A93" s="398"/>
      <c r="B93" s="398"/>
      <c r="C93" s="398"/>
      <c r="D93" s="398"/>
      <c r="E93" s="398"/>
      <c r="F93" s="398"/>
      <c r="G93" s="398"/>
    </row>
    <row r="94" spans="1:7">
      <c r="A94" s="398"/>
      <c r="B94" s="398"/>
      <c r="C94" s="398"/>
      <c r="D94" s="398"/>
      <c r="E94" s="398"/>
      <c r="F94" s="398"/>
      <c r="G94" s="398"/>
    </row>
    <row r="95" spans="1:7">
      <c r="A95" s="398"/>
      <c r="B95" s="398"/>
      <c r="C95" s="398"/>
      <c r="D95" s="398"/>
      <c r="E95" s="398"/>
      <c r="F95" s="398"/>
      <c r="G95" s="398"/>
    </row>
    <row r="96" spans="1:7">
      <c r="A96" s="398"/>
      <c r="B96" s="398"/>
      <c r="C96" s="398"/>
      <c r="D96" s="398"/>
      <c r="E96" s="398"/>
      <c r="F96" s="398"/>
      <c r="G96" s="398"/>
    </row>
    <row r="97" spans="1:7">
      <c r="A97" s="398"/>
      <c r="B97" s="398"/>
      <c r="C97" s="398"/>
      <c r="D97" s="398"/>
      <c r="E97" s="398"/>
      <c r="F97" s="398"/>
      <c r="G97" s="398"/>
    </row>
    <row r="98" spans="1:7">
      <c r="A98" s="398"/>
      <c r="B98" s="398"/>
      <c r="C98" s="398"/>
      <c r="D98" s="398"/>
      <c r="E98" s="398"/>
      <c r="F98" s="398"/>
      <c r="G98" s="398"/>
    </row>
    <row r="99" spans="1:7">
      <c r="A99" s="398"/>
      <c r="B99" s="398"/>
      <c r="C99" s="398"/>
      <c r="D99" s="398"/>
      <c r="E99" s="398"/>
      <c r="F99" s="398"/>
      <c r="G99" s="398"/>
    </row>
    <row r="100" spans="1:7">
      <c r="A100" s="398"/>
      <c r="B100" s="398"/>
      <c r="C100" s="398"/>
      <c r="D100" s="398"/>
      <c r="E100" s="398"/>
      <c r="F100" s="398"/>
      <c r="G100" s="398"/>
    </row>
    <row r="101" spans="1:7">
      <c r="A101" s="398"/>
      <c r="B101" s="398"/>
      <c r="C101" s="398"/>
      <c r="D101" s="398"/>
      <c r="E101" s="398"/>
      <c r="F101" s="398"/>
      <c r="G101" s="398"/>
    </row>
    <row r="102" spans="1:7">
      <c r="A102" s="398"/>
      <c r="B102" s="398"/>
      <c r="C102" s="398"/>
      <c r="D102" s="398"/>
      <c r="E102" s="398"/>
      <c r="F102" s="398"/>
      <c r="G102" s="398"/>
    </row>
    <row r="103" spans="1:7">
      <c r="A103" s="398"/>
      <c r="B103" s="398"/>
      <c r="C103" s="398"/>
      <c r="D103" s="398"/>
      <c r="E103" s="398"/>
      <c r="F103" s="398"/>
      <c r="G103" s="398"/>
    </row>
    <row r="104" spans="1:7">
      <c r="A104" s="398"/>
      <c r="B104" s="398"/>
      <c r="C104" s="398"/>
      <c r="D104" s="398"/>
      <c r="E104" s="398"/>
      <c r="F104" s="398"/>
      <c r="G104" s="398"/>
    </row>
    <row r="105" spans="1:7">
      <c r="A105" s="398"/>
      <c r="B105" s="398"/>
      <c r="C105" s="398"/>
      <c r="D105" s="398"/>
      <c r="E105" s="398"/>
      <c r="F105" s="398"/>
      <c r="G105" s="398"/>
    </row>
    <row r="106" spans="1:7">
      <c r="A106" s="398"/>
      <c r="B106" s="398"/>
      <c r="C106" s="398"/>
      <c r="D106" s="398"/>
      <c r="E106" s="398"/>
      <c r="F106" s="398"/>
      <c r="G106" s="398"/>
    </row>
    <row r="107" spans="1:7">
      <c r="A107" s="398"/>
      <c r="B107" s="398"/>
      <c r="C107" s="398"/>
      <c r="D107" s="398"/>
      <c r="E107" s="398"/>
      <c r="F107" s="398"/>
      <c r="G107" s="398"/>
    </row>
    <row r="108" spans="1:7">
      <c r="A108" s="398"/>
      <c r="B108" s="398"/>
      <c r="C108" s="398"/>
      <c r="D108" s="398"/>
      <c r="E108" s="398"/>
      <c r="F108" s="398"/>
      <c r="G108" s="398"/>
    </row>
    <row r="109" spans="1:7">
      <c r="A109" s="398"/>
      <c r="B109" s="398"/>
      <c r="C109" s="398"/>
      <c r="D109" s="398"/>
      <c r="E109" s="398"/>
      <c r="F109" s="398"/>
      <c r="G109" s="398"/>
    </row>
    <row r="110" spans="1:7">
      <c r="A110" s="398"/>
      <c r="B110" s="398"/>
      <c r="C110" s="398"/>
      <c r="D110" s="398"/>
      <c r="E110" s="398"/>
      <c r="F110" s="398"/>
      <c r="G110" s="398"/>
    </row>
    <row r="111" spans="1:7">
      <c r="A111" s="398"/>
      <c r="B111" s="398"/>
      <c r="C111" s="398"/>
      <c r="D111" s="398"/>
      <c r="E111" s="398"/>
      <c r="F111" s="398"/>
      <c r="G111" s="398"/>
    </row>
    <row r="112" spans="1:7">
      <c r="A112" s="398"/>
      <c r="B112" s="398"/>
      <c r="C112" s="398"/>
      <c r="D112" s="398"/>
      <c r="E112" s="398"/>
      <c r="F112" s="398"/>
      <c r="G112" s="398"/>
    </row>
    <row r="113" spans="1:7">
      <c r="A113" s="398"/>
      <c r="B113" s="398"/>
      <c r="C113" s="398"/>
      <c r="D113" s="398"/>
      <c r="E113" s="398"/>
      <c r="F113" s="398"/>
      <c r="G113" s="398"/>
    </row>
    <row r="114" spans="1:7">
      <c r="A114" s="398"/>
      <c r="B114" s="398"/>
      <c r="C114" s="398"/>
      <c r="D114" s="398"/>
      <c r="E114" s="398"/>
      <c r="F114" s="398"/>
      <c r="G114" s="398"/>
    </row>
    <row r="115" spans="1:7">
      <c r="A115" s="398"/>
      <c r="B115" s="398"/>
      <c r="C115" s="398"/>
      <c r="D115" s="398"/>
      <c r="E115" s="398"/>
      <c r="F115" s="398"/>
      <c r="G115" s="398"/>
    </row>
    <row r="116" spans="1:7">
      <c r="A116" s="398"/>
      <c r="B116" s="398"/>
      <c r="C116" s="398"/>
      <c r="D116" s="398"/>
      <c r="E116" s="398"/>
      <c r="F116" s="398"/>
      <c r="G116" s="398"/>
    </row>
    <row r="117" spans="1:7">
      <c r="A117" s="398"/>
      <c r="B117" s="398"/>
      <c r="C117" s="398"/>
      <c r="D117" s="398"/>
      <c r="E117" s="398"/>
      <c r="F117" s="398"/>
      <c r="G117" s="398"/>
    </row>
    <row r="118" spans="1:7">
      <c r="A118" s="398"/>
      <c r="B118" s="398"/>
      <c r="C118" s="398"/>
      <c r="D118" s="398"/>
      <c r="E118" s="398"/>
      <c r="F118" s="398"/>
      <c r="G118" s="398"/>
    </row>
    <row r="119" spans="1:7">
      <c r="A119" s="398"/>
      <c r="B119" s="398"/>
      <c r="C119" s="398"/>
      <c r="D119" s="398"/>
      <c r="E119" s="398"/>
      <c r="F119" s="398"/>
      <c r="G119" s="398"/>
    </row>
  </sheetData>
  <sheetProtection algorithmName="SHA-512" hashValue="eWoDXay9qluSs9q/6YY+F7Fx7AHnDfu+v7D2ETjUJD1A71wmPvVT6ZB37YRXun/DD9hiqKPwEnx+/I8yu0NGsg==" saltValue="rZnr68Kilyy0CtCAfABECg==" spinCount="100000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41" right="0.19685039370078741" top="0.39370078740157483" bottom="0.39370078740157483" header="0.31496062992125984" footer="0.31496062992125984"/>
  <pageSetup paperSize="9" scale="93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>
      <selection activeCell="B5" sqref="B5:C5"/>
    </sheetView>
  </sheetViews>
  <sheetFormatPr defaultColWidth="8.85546875" defaultRowHeight="15"/>
  <cols>
    <col min="1" max="1" width="9.5703125" style="399" customWidth="1"/>
    <col min="2" max="2" width="17.28515625" style="399" customWidth="1"/>
    <col min="3" max="3" width="17.85546875" style="399" customWidth="1"/>
    <col min="4" max="4" width="16.28515625" style="399" customWidth="1"/>
    <col min="5" max="5" width="21.5703125" style="399" customWidth="1"/>
    <col min="6" max="6" width="16.7109375" style="399" customWidth="1"/>
    <col min="7" max="16384" width="8.85546875" style="399"/>
  </cols>
  <sheetData>
    <row r="1" spans="1:6" ht="18" customHeight="1">
      <c r="A1" s="1758"/>
      <c r="B1" s="1758"/>
      <c r="C1" s="1758"/>
      <c r="D1" s="1758"/>
      <c r="E1" s="1758"/>
    </row>
    <row r="2" spans="1:6" ht="27.6" customHeight="1">
      <c r="A2" s="1720" t="s">
        <v>3614</v>
      </c>
      <c r="B2" s="1720"/>
      <c r="C2" s="1720"/>
      <c r="D2" s="1720"/>
      <c r="E2" s="1720"/>
      <c r="F2" s="400"/>
    </row>
    <row r="3" spans="1:6" ht="18" customHeight="1">
      <c r="A3" s="1758"/>
      <c r="B3" s="1758"/>
      <c r="C3" s="1758"/>
      <c r="D3" s="1758"/>
      <c r="E3" s="1758"/>
    </row>
    <row r="4" spans="1:6" ht="18" customHeight="1">
      <c r="A4" s="1758"/>
      <c r="B4" s="1758"/>
      <c r="C4" s="1758"/>
      <c r="D4" s="1758"/>
      <c r="E4" s="1758"/>
    </row>
    <row r="5" spans="1:6" ht="18" customHeight="1">
      <c r="A5" s="401" t="s">
        <v>3615</v>
      </c>
      <c r="B5" s="1698" t="str">
        <f>+CONCATENATE('DAP2'!C44)</f>
        <v/>
      </c>
      <c r="C5" s="1698"/>
      <c r="D5" s="401" t="s">
        <v>37</v>
      </c>
      <c r="E5" s="642" t="str">
        <f>+CONCATENATE('DAP2'!H44)</f>
        <v/>
      </c>
    </row>
    <row r="6" spans="1:6" ht="18" customHeight="1">
      <c r="A6" s="1754"/>
      <c r="B6" s="1754"/>
      <c r="C6" s="1754"/>
      <c r="D6" s="1754"/>
      <c r="E6" s="1754"/>
    </row>
    <row r="7" spans="1:6" ht="18" customHeight="1">
      <c r="A7" s="401" t="s">
        <v>3616</v>
      </c>
      <c r="B7" s="1757" t="str">
        <f>+CONCATENATE(ZAKL_DATA!B16," ",ZAKL_DATA!B17,", ",ZAKL_DATA!B18,", PSČ ",ZAKL_DATA!B19)</f>
        <v xml:space="preserve"> , , PSČ </v>
      </c>
      <c r="C7" s="1757"/>
      <c r="D7" s="1757"/>
      <c r="E7" s="1757"/>
    </row>
    <row r="8" spans="1:6" ht="18" customHeight="1">
      <c r="A8" s="401"/>
      <c r="B8" s="401"/>
      <c r="C8" s="401"/>
      <c r="D8" s="401"/>
      <c r="E8" s="401"/>
    </row>
    <row r="9" spans="1:6" ht="18" customHeight="1">
      <c r="A9" s="1753" t="s">
        <v>3894</v>
      </c>
      <c r="B9" s="1753"/>
      <c r="C9" s="1753"/>
      <c r="D9" s="1753"/>
      <c r="E9" s="1753"/>
    </row>
    <row r="10" spans="1:6" ht="18" customHeight="1">
      <c r="A10" s="402"/>
      <c r="B10" s="403" t="s">
        <v>97</v>
      </c>
      <c r="C10" s="403" t="s">
        <v>98</v>
      </c>
      <c r="D10" s="403" t="s">
        <v>148</v>
      </c>
      <c r="E10" s="404"/>
    </row>
    <row r="11" spans="1:6" ht="18" customHeight="1">
      <c r="A11" s="402" t="s">
        <v>136</v>
      </c>
      <c r="B11" s="405" t="str">
        <f>+Potvr_ZAM!C30</f>
        <v xml:space="preserve"> </v>
      </c>
      <c r="C11" s="405" t="str">
        <f>+Potvr_ZAM!B30</f>
        <v xml:space="preserve"> </v>
      </c>
      <c r="D11" s="405" t="str">
        <f>+CONCATENATE(Potvr_ZAM!D30)</f>
        <v/>
      </c>
      <c r="E11" s="406"/>
    </row>
    <row r="12" spans="1:6" ht="18" customHeight="1">
      <c r="A12" s="402" t="s">
        <v>137</v>
      </c>
      <c r="B12" s="405" t="str">
        <f>+Potvr_ZAM!C31</f>
        <v xml:space="preserve"> </v>
      </c>
      <c r="C12" s="405" t="str">
        <f>+Potvr_ZAM!B31</f>
        <v xml:space="preserve"> </v>
      </c>
      <c r="D12" s="405" t="str">
        <f>+CONCATENATE(Potvr_ZAM!D31)</f>
        <v/>
      </c>
      <c r="E12" s="406"/>
    </row>
    <row r="13" spans="1:6" ht="18" customHeight="1">
      <c r="A13" s="402" t="s">
        <v>138</v>
      </c>
      <c r="B13" s="405" t="str">
        <f>+Potvr_ZAM!C32</f>
        <v xml:space="preserve"> </v>
      </c>
      <c r="C13" s="405" t="str">
        <f>+Potvr_ZAM!B32</f>
        <v xml:space="preserve"> </v>
      </c>
      <c r="D13" s="405" t="str">
        <f>+CONCATENATE(Potvr_ZAM!D32)</f>
        <v/>
      </c>
      <c r="E13" s="406"/>
    </row>
    <row r="14" spans="1:6" ht="18" customHeight="1">
      <c r="A14" s="402" t="s">
        <v>317</v>
      </c>
      <c r="B14" s="405" t="str">
        <f>+Potvr_ZAM!C33</f>
        <v xml:space="preserve"> </v>
      </c>
      <c r="C14" s="405" t="str">
        <f>+Potvr_ZAM!B33</f>
        <v xml:space="preserve"> </v>
      </c>
      <c r="D14" s="405" t="str">
        <f>+CONCATENATE(Potvr_ZAM!D33)</f>
        <v/>
      </c>
      <c r="E14" s="406"/>
    </row>
    <row r="15" spans="1:6" ht="18" customHeight="1">
      <c r="A15" s="402" t="s">
        <v>103</v>
      </c>
      <c r="B15" s="405" t="str">
        <f>+CONCATENATE(Potvr_ZAM!C34)</f>
        <v/>
      </c>
      <c r="C15" s="405" t="str">
        <f>+CONCATENATE(Potvr_ZAM!B34)</f>
        <v/>
      </c>
      <c r="D15" s="405" t="str">
        <f>+CONCATENATE(Potvr_ZAM!D34)</f>
        <v/>
      </c>
      <c r="E15" s="406"/>
    </row>
    <row r="16" spans="1:6" ht="18" customHeight="1">
      <c r="A16" s="402" t="s">
        <v>316</v>
      </c>
      <c r="B16" s="405" t="str">
        <f>+CONCATENATE(Potvr_ZAM!C35)</f>
        <v/>
      </c>
      <c r="C16" s="405" t="str">
        <f>+CONCATENATE(Potvr_ZAM!B35)</f>
        <v/>
      </c>
      <c r="D16" s="405" t="str">
        <f>+CONCATENATE(Potvr_ZAM!D35)</f>
        <v/>
      </c>
      <c r="E16" s="406"/>
    </row>
    <row r="17" spans="1:5" ht="18" customHeight="1">
      <c r="A17" s="402" t="s">
        <v>315</v>
      </c>
      <c r="B17" s="405" t="str">
        <f>+CONCATENATE(Potvr_ZAM!C36)</f>
        <v/>
      </c>
      <c r="C17" s="405" t="str">
        <f>+CONCATENATE(Potvr_ZAM!B36)</f>
        <v/>
      </c>
      <c r="D17" s="405" t="str">
        <f>+CONCATENATE(Potvr_ZAM!D36)</f>
        <v/>
      </c>
      <c r="E17" s="406"/>
    </row>
    <row r="18" spans="1:5" ht="18" customHeight="1">
      <c r="A18" s="1754"/>
      <c r="B18" s="1754"/>
      <c r="C18" s="1754"/>
      <c r="D18" s="1754"/>
      <c r="E18" s="1754"/>
    </row>
    <row r="19" spans="1:5" ht="18" customHeight="1">
      <c r="A19" s="1754"/>
      <c r="B19" s="1754"/>
      <c r="C19" s="1754"/>
      <c r="D19" s="1754"/>
      <c r="E19" s="1754"/>
    </row>
    <row r="20" spans="1:5" ht="18" customHeight="1">
      <c r="A20" s="401" t="s">
        <v>3465</v>
      </c>
      <c r="B20" s="407">
        <f ca="1">TODAY()</f>
        <v>44720</v>
      </c>
      <c r="C20" s="1754"/>
      <c r="D20" s="1754"/>
      <c r="E20" s="1754"/>
    </row>
    <row r="21" spans="1:5" ht="18" customHeight="1">
      <c r="A21" s="1754"/>
      <c r="B21" s="1754"/>
      <c r="C21" s="1754"/>
      <c r="D21" s="1755"/>
      <c r="E21" s="1755"/>
    </row>
    <row r="22" spans="1:5" ht="18" customHeight="1">
      <c r="A22" s="1754"/>
      <c r="B22" s="1754"/>
      <c r="C22" s="1754"/>
      <c r="D22" s="1698"/>
      <c r="E22" s="1698"/>
    </row>
    <row r="23" spans="1:5" ht="18" customHeight="1">
      <c r="A23" s="1754"/>
      <c r="B23" s="1754"/>
      <c r="C23" s="1754"/>
      <c r="D23" s="1756" t="s">
        <v>3617</v>
      </c>
      <c r="E23" s="1756"/>
    </row>
    <row r="24" spans="1:5" ht="18" customHeight="1">
      <c r="A24" s="408"/>
      <c r="B24" s="408"/>
      <c r="C24" s="408"/>
      <c r="D24" s="408"/>
      <c r="E24" s="408"/>
    </row>
    <row r="25" spans="1:5">
      <c r="A25" s="408"/>
      <c r="B25" s="408"/>
      <c r="C25" s="408"/>
      <c r="D25" s="408"/>
      <c r="E25" s="408"/>
    </row>
    <row r="26" spans="1:5">
      <c r="A26" s="408"/>
      <c r="B26" s="408"/>
      <c r="C26" s="408"/>
      <c r="D26" s="408"/>
      <c r="E26" s="408"/>
    </row>
    <row r="27" spans="1:5">
      <c r="A27" s="408"/>
      <c r="B27" s="408"/>
      <c r="C27" s="408"/>
      <c r="D27" s="408"/>
      <c r="E27" s="408"/>
    </row>
    <row r="28" spans="1:5">
      <c r="A28" s="408"/>
      <c r="B28" s="408"/>
      <c r="C28" s="408"/>
      <c r="D28" s="408"/>
      <c r="E28" s="408"/>
    </row>
    <row r="29" spans="1:5">
      <c r="A29" s="408"/>
      <c r="B29" s="408"/>
      <c r="C29" s="408"/>
      <c r="D29" s="408"/>
      <c r="E29" s="408"/>
    </row>
    <row r="30" spans="1:5">
      <c r="A30" s="408"/>
      <c r="B30" s="408"/>
      <c r="C30" s="408"/>
      <c r="D30" s="408"/>
      <c r="E30" s="408"/>
    </row>
    <row r="31" spans="1:5">
      <c r="A31" s="408"/>
      <c r="B31" s="408"/>
      <c r="C31" s="408"/>
      <c r="D31" s="408"/>
      <c r="E31" s="408"/>
    </row>
    <row r="32" spans="1:5">
      <c r="A32" s="408"/>
      <c r="B32" s="408"/>
      <c r="C32" s="408"/>
      <c r="D32" s="408"/>
      <c r="E32" s="408"/>
    </row>
    <row r="33" spans="1:5">
      <c r="A33" s="408"/>
      <c r="B33" s="408"/>
      <c r="C33" s="408"/>
      <c r="D33" s="408"/>
      <c r="E33" s="408"/>
    </row>
    <row r="34" spans="1:5">
      <c r="A34" s="408"/>
      <c r="B34" s="408"/>
      <c r="C34" s="408"/>
      <c r="D34" s="408"/>
      <c r="E34" s="408"/>
    </row>
    <row r="35" spans="1:5">
      <c r="A35" s="408"/>
      <c r="B35" s="408"/>
      <c r="C35" s="408"/>
      <c r="D35" s="408"/>
      <c r="E35" s="408"/>
    </row>
    <row r="36" spans="1:5">
      <c r="A36" s="408"/>
      <c r="B36" s="408"/>
      <c r="C36" s="408"/>
      <c r="D36" s="408"/>
      <c r="E36" s="408"/>
    </row>
    <row r="37" spans="1:5">
      <c r="A37" s="408"/>
      <c r="B37" s="408"/>
      <c r="C37" s="408"/>
      <c r="D37" s="408"/>
      <c r="E37" s="408"/>
    </row>
    <row r="38" spans="1:5">
      <c r="A38" s="408"/>
      <c r="B38" s="408"/>
      <c r="C38" s="408"/>
      <c r="D38" s="408"/>
      <c r="E38" s="408"/>
    </row>
    <row r="39" spans="1:5">
      <c r="A39" s="408"/>
      <c r="B39" s="408"/>
      <c r="C39" s="408"/>
      <c r="D39" s="408"/>
      <c r="E39" s="408"/>
    </row>
    <row r="40" spans="1:5">
      <c r="A40" s="408"/>
      <c r="B40" s="408"/>
      <c r="C40" s="408"/>
      <c r="D40" s="408"/>
      <c r="E40" s="408"/>
    </row>
    <row r="41" spans="1:5">
      <c r="A41" s="408"/>
      <c r="B41" s="408"/>
      <c r="C41" s="408"/>
      <c r="D41" s="408"/>
      <c r="E41" s="408"/>
    </row>
    <row r="42" spans="1:5">
      <c r="A42" s="408"/>
      <c r="B42" s="408"/>
      <c r="C42" s="408"/>
      <c r="D42" s="408"/>
      <c r="E42" s="408"/>
    </row>
    <row r="43" spans="1:5">
      <c r="A43" s="408"/>
      <c r="B43" s="408"/>
      <c r="C43" s="408"/>
      <c r="D43" s="408"/>
      <c r="E43" s="408"/>
    </row>
  </sheetData>
  <sheetProtection algorithmName="SHA-512" hashValue="HMznLuxQ4TvYsmdwIOJWqisvPYwxJZUCvorneHzVvTOy9TligkjeI3IcNdw8GiDSxm/Eps1qoTVqTZ17G32jNA==" saltValue="+tjiOWPy9enU5MuM/oRIMA==" spinCount="100000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27" right="0.39370078740157483" top="0.39370078740157483" bottom="0.39370078740157483" header="0.31496062992125984" footer="0.31496062992125984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4E12D-155C-4DF0-A8E5-ACCAD3A1E0B9}">
  <sheetPr>
    <tabColor rgb="FFFFFF99"/>
    <pageSetUpPr fitToPage="1"/>
  </sheetPr>
  <dimension ref="A1:BM161"/>
  <sheetViews>
    <sheetView workbookViewId="0">
      <selection activeCell="A6" sqref="A6:F6"/>
    </sheetView>
  </sheetViews>
  <sheetFormatPr defaultRowHeight="12.75"/>
  <cols>
    <col min="1" max="1" width="21.7109375" style="576" customWidth="1"/>
    <col min="2" max="29" width="3.28515625" style="576" customWidth="1"/>
    <col min="30" max="30" width="4" style="576" customWidth="1"/>
    <col min="31" max="32" width="3.28515625" style="576" customWidth="1"/>
    <col min="33" max="33" width="9.140625" style="27"/>
    <col min="34" max="34" width="9.140625" style="27" hidden="1" customWidth="1"/>
    <col min="35" max="47" width="3.28515625" style="27" hidden="1" customWidth="1"/>
    <col min="48" max="65" width="9.140625" style="27"/>
    <col min="66" max="16384" width="9.140625" style="576"/>
  </cols>
  <sheetData>
    <row r="1" spans="1:32" ht="18">
      <c r="A1" s="581"/>
      <c r="B1" s="796" t="s">
        <v>3915</v>
      </c>
      <c r="C1" s="1759"/>
      <c r="D1" s="1759"/>
      <c r="E1" s="1759"/>
      <c r="F1" s="1759"/>
      <c r="G1" s="1759"/>
      <c r="H1" s="1759"/>
      <c r="I1" s="1759"/>
      <c r="J1" s="1759"/>
      <c r="K1" s="1759"/>
      <c r="L1" s="1759"/>
      <c r="M1" s="1759"/>
      <c r="N1" s="1759"/>
      <c r="O1" s="1759"/>
      <c r="P1" s="1759"/>
      <c r="Q1" s="1759"/>
      <c r="R1" s="1759"/>
      <c r="S1" s="1759"/>
      <c r="T1" s="1759"/>
      <c r="U1" s="1759"/>
      <c r="V1" s="1759"/>
      <c r="W1" s="1759"/>
      <c r="X1" s="1759"/>
      <c r="Y1" s="1759"/>
      <c r="Z1" s="1759"/>
      <c r="AA1" s="1760"/>
      <c r="AB1" s="1760"/>
      <c r="AC1" s="1760"/>
      <c r="AD1" s="1760"/>
      <c r="AE1" s="1760"/>
      <c r="AF1" s="582"/>
    </row>
    <row r="2" spans="1:32">
      <c r="A2" s="573"/>
      <c r="B2" s="1761" t="s">
        <v>244</v>
      </c>
      <c r="C2" s="1759"/>
      <c r="D2" s="1759"/>
      <c r="E2" s="1759"/>
      <c r="F2" s="1759"/>
      <c r="G2" s="1759"/>
      <c r="H2" s="1759"/>
      <c r="I2" s="1759"/>
      <c r="J2" s="1759"/>
      <c r="K2" s="1759"/>
      <c r="L2" s="1759"/>
      <c r="M2" s="1759"/>
      <c r="N2" s="1759"/>
      <c r="O2" s="1759"/>
      <c r="P2" s="1759"/>
      <c r="Q2" s="1759"/>
      <c r="R2" s="1759"/>
      <c r="S2" s="1759"/>
      <c r="T2" s="1759"/>
      <c r="U2" s="1759"/>
      <c r="V2" s="1759"/>
      <c r="W2" s="1759"/>
      <c r="X2" s="1759"/>
      <c r="Y2" s="1759"/>
      <c r="Z2" s="1759"/>
      <c r="AA2" s="1760"/>
      <c r="AB2" s="1760"/>
      <c r="AC2" s="1760"/>
      <c r="AD2" s="1760"/>
      <c r="AE2" s="1760"/>
      <c r="AF2" s="582"/>
    </row>
    <row r="3" spans="1:32">
      <c r="A3" s="1759"/>
      <c r="B3" s="1759"/>
      <c r="C3" s="1759"/>
      <c r="D3" s="583"/>
      <c r="E3" s="1759"/>
      <c r="F3" s="1759"/>
      <c r="G3" s="1759"/>
      <c r="H3" s="1759"/>
      <c r="I3" s="1759"/>
      <c r="J3" s="583"/>
      <c r="K3" s="583" t="s">
        <v>329</v>
      </c>
      <c r="L3" s="583"/>
      <c r="M3" s="583"/>
      <c r="N3" s="583"/>
      <c r="O3" s="583"/>
      <c r="P3" s="583"/>
      <c r="Q3" s="583" t="s">
        <v>330</v>
      </c>
      <c r="R3" s="583"/>
      <c r="S3" s="1762"/>
      <c r="T3" s="1762"/>
      <c r="U3" s="1762"/>
      <c r="V3" s="1762"/>
      <c r="W3" s="1762"/>
      <c r="X3" s="583"/>
      <c r="Y3" s="583"/>
      <c r="Z3" s="583"/>
      <c r="AA3" s="1760"/>
      <c r="AB3" s="1760"/>
      <c r="AC3" s="1760"/>
      <c r="AD3" s="1760"/>
      <c r="AE3" s="1760"/>
      <c r="AF3" s="582"/>
    </row>
    <row r="4" spans="1:32" ht="12.95" customHeight="1">
      <c r="A4" s="1760"/>
      <c r="B4" s="1760"/>
      <c r="C4" s="1760"/>
      <c r="D4" s="1760"/>
      <c r="E4" s="1760"/>
      <c r="F4" s="1760"/>
      <c r="G4" s="1760"/>
      <c r="H4" s="1760"/>
      <c r="I4" s="1760"/>
      <c r="J4" s="1775"/>
      <c r="K4" s="269" t="s">
        <v>258</v>
      </c>
      <c r="L4" s="1776"/>
      <c r="M4" s="1777"/>
      <c r="N4" s="1777"/>
      <c r="O4" s="1777"/>
      <c r="P4" s="1778"/>
      <c r="Q4" s="269"/>
      <c r="R4" s="1779"/>
      <c r="S4" s="1780"/>
      <c r="T4" s="1780"/>
      <c r="U4" s="1780"/>
      <c r="V4" s="1780"/>
      <c r="W4" s="1780"/>
      <c r="X4" s="1780"/>
      <c r="Y4" s="1780"/>
      <c r="Z4" s="1780"/>
      <c r="AA4" s="1780"/>
      <c r="AB4" s="1780"/>
      <c r="AC4" s="1780"/>
      <c r="AD4" s="1780"/>
      <c r="AE4" s="1780"/>
      <c r="AF4" s="1780"/>
    </row>
    <row r="5" spans="1:32" ht="12.95" customHeight="1">
      <c r="A5" s="1781" t="s">
        <v>3593</v>
      </c>
      <c r="B5" s="1781"/>
      <c r="C5" s="1781"/>
      <c r="D5" s="1781"/>
      <c r="E5" s="1781"/>
      <c r="F5" s="1781"/>
      <c r="G5" s="1769"/>
      <c r="H5" s="1352"/>
      <c r="I5" s="1352"/>
      <c r="J5" s="1352"/>
      <c r="K5" s="1352"/>
      <c r="L5" s="1352"/>
      <c r="M5" s="1352"/>
      <c r="N5" s="1352"/>
      <c r="O5" s="1352"/>
      <c r="P5" s="1352"/>
      <c r="Q5" s="1352"/>
      <c r="R5" s="1352"/>
      <c r="S5" s="1352"/>
      <c r="T5" s="1352"/>
      <c r="U5" s="1782" t="s">
        <v>3594</v>
      </c>
      <c r="V5" s="1782"/>
      <c r="W5" s="1783"/>
      <c r="X5" s="1783"/>
      <c r="Y5" s="1783"/>
      <c r="Z5" s="1784"/>
      <c r="AA5" s="1784"/>
      <c r="AB5" s="1784"/>
      <c r="AC5" s="1784"/>
      <c r="AD5" s="1784"/>
      <c r="AE5" s="1784"/>
      <c r="AF5" s="1784"/>
    </row>
    <row r="6" spans="1:32" ht="18" customHeight="1">
      <c r="A6" s="1785" t="str">
        <f>CONCATENATE(+ZAKL_DATA!B21)</f>
        <v/>
      </c>
      <c r="B6" s="1786"/>
      <c r="C6" s="1786"/>
      <c r="D6" s="1786"/>
      <c r="E6" s="1786"/>
      <c r="F6" s="1787"/>
      <c r="G6" s="1352"/>
      <c r="H6" s="1352"/>
      <c r="I6" s="1352"/>
      <c r="J6" s="1352"/>
      <c r="K6" s="1352"/>
      <c r="L6" s="1352"/>
      <c r="M6" s="1352"/>
      <c r="N6" s="1352"/>
      <c r="O6" s="1352"/>
      <c r="P6" s="1352"/>
      <c r="Q6" s="1352"/>
      <c r="R6" s="1352"/>
      <c r="S6" s="1352"/>
      <c r="T6" s="1352"/>
      <c r="U6" s="1788" t="str">
        <f>+CONCATENATE(ZAKL_DATA!B11)</f>
        <v/>
      </c>
      <c r="V6" s="1789"/>
      <c r="W6" s="1790"/>
      <c r="X6" s="1790"/>
      <c r="Y6" s="1790"/>
      <c r="Z6" s="1791"/>
      <c r="AA6" s="1791"/>
      <c r="AB6" s="1791"/>
      <c r="AC6" s="1791"/>
      <c r="AD6" s="1791"/>
      <c r="AE6" s="1791"/>
      <c r="AF6" s="1792"/>
    </row>
    <row r="7" spans="1:32" ht="9.9499999999999993" customHeight="1">
      <c r="A7" s="1763"/>
      <c r="B7" s="1546"/>
      <c r="C7" s="1546"/>
      <c r="D7" s="1546"/>
      <c r="E7" s="1546"/>
      <c r="F7" s="1546"/>
      <c r="G7" s="1546"/>
      <c r="H7" s="1546"/>
      <c r="I7" s="1546"/>
      <c r="J7" s="1546"/>
      <c r="K7" s="1546"/>
      <c r="L7" s="1546"/>
      <c r="M7" s="1546"/>
      <c r="N7" s="1546"/>
      <c r="O7" s="1546"/>
      <c r="P7" s="1546"/>
      <c r="Q7" s="1546"/>
      <c r="R7" s="1546"/>
      <c r="S7" s="1546"/>
      <c r="T7" s="1546"/>
      <c r="U7" s="1546"/>
      <c r="V7" s="1546"/>
      <c r="W7" s="1546"/>
      <c r="X7" s="1546"/>
      <c r="Y7" s="1546"/>
      <c r="Z7" s="1546"/>
      <c r="AA7" s="1546"/>
      <c r="AB7" s="1546"/>
      <c r="AC7" s="1546"/>
      <c r="AD7" s="1546"/>
      <c r="AE7" s="1546"/>
      <c r="AF7" s="1546"/>
    </row>
    <row r="8" spans="1:32">
      <c r="A8" s="1764" t="s">
        <v>309</v>
      </c>
      <c r="B8" s="1765"/>
      <c r="C8" s="1765"/>
      <c r="D8" s="1765"/>
      <c r="E8" s="1765"/>
      <c r="F8" s="1765"/>
      <c r="G8" s="1765"/>
      <c r="H8" s="1765"/>
      <c r="I8" s="1765"/>
      <c r="J8" s="1765"/>
      <c r="K8" s="1765"/>
      <c r="L8" s="1765"/>
      <c r="M8" s="1765"/>
      <c r="N8" s="1765"/>
      <c r="O8" s="1765"/>
      <c r="P8" s="1765"/>
      <c r="Q8" s="1765"/>
      <c r="R8" s="1765"/>
      <c r="S8" s="1765"/>
      <c r="T8" s="1765"/>
      <c r="U8" s="1765"/>
      <c r="V8" s="1765"/>
      <c r="W8" s="1765"/>
      <c r="X8" s="1765"/>
      <c r="Y8" s="1765"/>
      <c r="Z8" s="1765"/>
      <c r="AA8" s="1766"/>
      <c r="AB8" s="1766"/>
      <c r="AC8" s="1766"/>
      <c r="AD8" s="1766"/>
      <c r="AE8" s="1766"/>
      <c r="AF8" s="1767"/>
    </row>
    <row r="9" spans="1:32" ht="11.1" customHeight="1">
      <c r="A9" s="1768" t="s">
        <v>161</v>
      </c>
      <c r="B9" s="1769"/>
      <c r="C9" s="1769"/>
      <c r="D9" s="1769"/>
      <c r="E9" s="1769"/>
      <c r="F9" s="1769"/>
      <c r="G9" s="584"/>
      <c r="H9" s="1769" t="s">
        <v>162</v>
      </c>
      <c r="I9" s="1769"/>
      <c r="J9" s="1769"/>
      <c r="K9" s="584"/>
      <c r="L9" s="584"/>
      <c r="M9" s="584"/>
      <c r="N9" s="584"/>
      <c r="O9" s="584"/>
      <c r="P9" s="584"/>
      <c r="Q9" s="1770" t="s">
        <v>163</v>
      </c>
      <c r="R9" s="1771"/>
      <c r="S9" s="1771"/>
      <c r="T9" s="1771"/>
      <c r="U9" s="1771"/>
      <c r="V9" s="1771"/>
      <c r="W9" s="1771"/>
      <c r="X9" s="584"/>
      <c r="Y9" s="1772" t="s">
        <v>3808</v>
      </c>
      <c r="Z9" s="1773"/>
      <c r="AA9" s="1773"/>
      <c r="AB9" s="1773"/>
      <c r="AC9" s="1773"/>
      <c r="AD9" s="1773"/>
      <c r="AE9" s="1773"/>
      <c r="AF9" s="1774"/>
    </row>
    <row r="10" spans="1:32" ht="18" customHeight="1">
      <c r="A10" s="1803">
        <f>+'DAP1'!B28</f>
        <v>0</v>
      </c>
      <c r="B10" s="1804"/>
      <c r="C10" s="1804"/>
      <c r="D10" s="1804"/>
      <c r="E10" s="1804"/>
      <c r="F10" s="1805"/>
      <c r="G10" s="409"/>
      <c r="H10" s="1803">
        <f>+'DAP1'!J28</f>
        <v>0</v>
      </c>
      <c r="I10" s="1806"/>
      <c r="J10" s="1806"/>
      <c r="K10" s="1807"/>
      <c r="L10" s="1807"/>
      <c r="M10" s="1807"/>
      <c r="N10" s="1771"/>
      <c r="O10" s="1030"/>
      <c r="P10" s="585"/>
      <c r="Q10" s="1808" t="str">
        <f>+CONCATENATE(+ZAKL_DATA!B7)</f>
        <v/>
      </c>
      <c r="R10" s="1809"/>
      <c r="S10" s="1809"/>
      <c r="T10" s="1809"/>
      <c r="U10" s="1809"/>
      <c r="V10" s="1809"/>
      <c r="W10" s="942"/>
      <c r="X10" s="585"/>
      <c r="Y10" s="1810" t="str">
        <f>+'DAP1'!A9</f>
        <v/>
      </c>
      <c r="Z10" s="1771"/>
      <c r="AA10" s="1771"/>
      <c r="AB10" s="1771"/>
      <c r="AC10" s="1771"/>
      <c r="AD10" s="1771"/>
      <c r="AE10" s="1771"/>
      <c r="AF10" s="1030"/>
    </row>
    <row r="11" spans="1:32" ht="11.1" customHeight="1">
      <c r="A11" s="1799" t="s">
        <v>3809</v>
      </c>
      <c r="B11" s="1771"/>
      <c r="C11" s="584"/>
      <c r="D11" s="1800" t="s">
        <v>3769</v>
      </c>
      <c r="E11" s="1801"/>
      <c r="F11" s="1801"/>
      <c r="G11" s="1801"/>
      <c r="H11" s="1801"/>
      <c r="I11" s="1801"/>
      <c r="J11" s="1801"/>
      <c r="K11" s="1801"/>
      <c r="L11" s="1801"/>
      <c r="M11" s="1801"/>
      <c r="N11" s="1801"/>
      <c r="O11" s="584"/>
      <c r="P11" s="1811" t="s">
        <v>3770</v>
      </c>
      <c r="Q11" s="1801"/>
      <c r="R11" s="1801"/>
      <c r="S11" s="1801"/>
      <c r="T11" s="1801"/>
      <c r="U11" s="584"/>
      <c r="V11" s="1800" t="s">
        <v>3771</v>
      </c>
      <c r="W11" s="1801"/>
      <c r="X11" s="1801"/>
      <c r="Y11" s="1801"/>
      <c r="Z11" s="1801"/>
      <c r="AA11" s="1801"/>
      <c r="AB11" s="1801"/>
      <c r="AC11" s="1801"/>
      <c r="AD11" s="1801"/>
      <c r="AE11" s="1801"/>
      <c r="AF11" s="1812"/>
    </row>
    <row r="12" spans="1:32" ht="18" customHeight="1">
      <c r="A12" s="1793">
        <f>+ZAKL_DATA!B8</f>
        <v>0</v>
      </c>
      <c r="B12" s="1794"/>
      <c r="C12" s="409"/>
      <c r="D12" s="1795">
        <f>+'DAP1'!G31</f>
        <v>0</v>
      </c>
      <c r="E12" s="1796"/>
      <c r="F12" s="1796"/>
      <c r="G12" s="1796"/>
      <c r="H12" s="1796"/>
      <c r="I12" s="1796"/>
      <c r="J12" s="1796"/>
      <c r="K12" s="1796"/>
      <c r="L12" s="1796"/>
      <c r="M12" s="1796"/>
      <c r="N12" s="1797"/>
      <c r="O12" s="409"/>
      <c r="P12" s="1798">
        <f>+'DAP1'!L31</f>
        <v>0</v>
      </c>
      <c r="Q12" s="1771"/>
      <c r="R12" s="1771"/>
      <c r="S12" s="1771"/>
      <c r="T12" s="1030"/>
      <c r="U12" s="586"/>
      <c r="V12" s="1795">
        <f>+'DAP1'!B31</f>
        <v>0</v>
      </c>
      <c r="W12" s="1796"/>
      <c r="X12" s="1796"/>
      <c r="Y12" s="1796"/>
      <c r="Z12" s="1796"/>
      <c r="AA12" s="1796"/>
      <c r="AB12" s="1796"/>
      <c r="AC12" s="1796"/>
      <c r="AD12" s="1796"/>
      <c r="AE12" s="1796"/>
      <c r="AF12" s="1797"/>
    </row>
    <row r="13" spans="1:32" ht="11.1" customHeight="1">
      <c r="A13" s="1799" t="s">
        <v>3772</v>
      </c>
      <c r="B13" s="1771"/>
      <c r="C13" s="584"/>
      <c r="D13" s="1800" t="s">
        <v>3773</v>
      </c>
      <c r="E13" s="1801"/>
      <c r="F13" s="1801"/>
      <c r="G13" s="1801"/>
      <c r="H13" s="1801"/>
      <c r="I13" s="1801"/>
      <c r="J13" s="1801"/>
      <c r="K13" s="1801"/>
      <c r="L13" s="1801"/>
      <c r="M13" s="1801"/>
      <c r="N13" s="1801"/>
      <c r="O13" s="584"/>
      <c r="P13" s="1802" t="s">
        <v>3810</v>
      </c>
      <c r="Q13" s="1750"/>
      <c r="R13" s="1750"/>
      <c r="S13" s="1750"/>
      <c r="T13" s="1750"/>
      <c r="U13" s="1352"/>
      <c r="V13" s="1750"/>
      <c r="W13" s="1750"/>
      <c r="X13" s="584"/>
      <c r="Y13" s="1772" t="s">
        <v>3811</v>
      </c>
      <c r="Z13" s="1773"/>
      <c r="AA13" s="1773"/>
      <c r="AB13" s="1773"/>
      <c r="AC13" s="1773"/>
      <c r="AD13" s="1773"/>
      <c r="AE13" s="1773"/>
      <c r="AF13" s="1774"/>
    </row>
    <row r="14" spans="1:32" ht="18" customHeight="1">
      <c r="A14" s="1798">
        <f>+'DAP1'!B32</f>
        <v>0</v>
      </c>
      <c r="B14" s="1030"/>
      <c r="C14" s="409"/>
      <c r="D14" s="1795">
        <f>+'DAP1'!K32</f>
        <v>0</v>
      </c>
      <c r="E14" s="1796"/>
      <c r="F14" s="1796"/>
      <c r="G14" s="1796"/>
      <c r="H14" s="1796"/>
      <c r="I14" s="1796"/>
      <c r="J14" s="1796"/>
      <c r="K14" s="1796"/>
      <c r="L14" s="1796"/>
      <c r="M14" s="1796"/>
      <c r="N14" s="1797"/>
      <c r="O14" s="409"/>
      <c r="P14" s="1785" t="str">
        <f>+IF(+LEN(ZAKL_DATA!B28)+LEN(ZAKL_DATA!B27)=0," ",(+IF(+LEN(ZAKL_DATA!B28)=0,'DAP1'!H32,ZAKL_DATA!B28)))</f>
        <v xml:space="preserve"> </v>
      </c>
      <c r="Q14" s="1824"/>
      <c r="R14" s="1824"/>
      <c r="S14" s="1824"/>
      <c r="T14" s="1824"/>
      <c r="U14" s="1824"/>
      <c r="V14" s="1824"/>
      <c r="W14" s="1825"/>
      <c r="X14" s="585"/>
      <c r="Y14" s="1826" t="str">
        <f>++CONCATENATE(ZAKL_DATA!B25)</f>
        <v/>
      </c>
      <c r="Z14" s="1809"/>
      <c r="AA14" s="1809"/>
      <c r="AB14" s="1809"/>
      <c r="AC14" s="1809"/>
      <c r="AD14" s="1809"/>
      <c r="AE14" s="1809"/>
      <c r="AF14" s="942"/>
    </row>
    <row r="15" spans="1:32" ht="5.0999999999999996" customHeight="1">
      <c r="A15" s="1827"/>
      <c r="B15" s="1828"/>
      <c r="C15" s="1828"/>
      <c r="D15" s="1828"/>
      <c r="E15" s="1828"/>
      <c r="F15" s="1828"/>
      <c r="G15" s="1828"/>
      <c r="H15" s="1828"/>
      <c r="I15" s="1828"/>
      <c r="J15" s="1828"/>
      <c r="K15" s="1828"/>
      <c r="L15" s="1828"/>
      <c r="M15" s="1828"/>
      <c r="N15" s="1828"/>
      <c r="O15" s="1828"/>
      <c r="P15" s="1828"/>
      <c r="Q15" s="1828"/>
      <c r="R15" s="1828"/>
      <c r="S15" s="1828"/>
      <c r="T15" s="1828"/>
      <c r="U15" s="1828"/>
      <c r="V15" s="1828"/>
      <c r="W15" s="1828"/>
      <c r="X15" s="1828"/>
      <c r="Y15" s="1828"/>
      <c r="Z15" s="1828"/>
      <c r="AA15" s="1828"/>
      <c r="AB15" s="1828"/>
      <c r="AC15" s="1828"/>
      <c r="AD15" s="1828"/>
      <c r="AE15" s="1828"/>
      <c r="AF15" s="1829"/>
    </row>
    <row r="16" spans="1:32" ht="15" customHeight="1">
      <c r="A16" s="1764" t="s">
        <v>3812</v>
      </c>
      <c r="B16" s="1806"/>
      <c r="C16" s="1806"/>
      <c r="D16" s="1806"/>
      <c r="E16" s="1806"/>
      <c r="F16" s="1806"/>
      <c r="G16" s="1806"/>
      <c r="H16" s="1806"/>
      <c r="I16" s="1806"/>
      <c r="J16" s="1806"/>
      <c r="K16" s="1806"/>
      <c r="L16" s="1806"/>
      <c r="M16" s="1806"/>
      <c r="N16" s="1806"/>
      <c r="O16" s="1806"/>
      <c r="P16" s="1806"/>
      <c r="Q16" s="1806"/>
      <c r="R16" s="1806"/>
      <c r="S16" s="1806"/>
      <c r="T16" s="1806"/>
      <c r="U16" s="1806"/>
      <c r="V16" s="1806"/>
      <c r="W16" s="1806"/>
      <c r="X16" s="1806"/>
      <c r="Y16" s="1806"/>
      <c r="Z16" s="1806"/>
      <c r="AA16" s="1806"/>
      <c r="AB16" s="1806"/>
      <c r="AC16" s="1806"/>
      <c r="AD16" s="1806"/>
      <c r="AE16" s="1806"/>
      <c r="AF16" s="1805"/>
    </row>
    <row r="17" spans="1:32" ht="4.5" customHeight="1">
      <c r="A17" s="1813"/>
      <c r="B17" s="1750"/>
      <c r="C17" s="1750"/>
      <c r="D17" s="1750"/>
      <c r="E17" s="1750"/>
      <c r="F17" s="1750"/>
      <c r="G17" s="1750"/>
      <c r="H17" s="1750"/>
      <c r="I17" s="1750"/>
      <c r="J17" s="1750"/>
      <c r="K17" s="1750"/>
      <c r="L17" s="1750"/>
      <c r="M17" s="1750"/>
      <c r="N17" s="1750"/>
      <c r="O17" s="1750"/>
      <c r="P17" s="1750"/>
      <c r="Q17" s="1750"/>
      <c r="R17" s="1750"/>
      <c r="S17" s="1750"/>
      <c r="T17" s="1750"/>
      <c r="U17" s="1750"/>
      <c r="V17" s="1750"/>
      <c r="W17" s="1750"/>
      <c r="X17" s="1750"/>
      <c r="Y17" s="1750"/>
      <c r="Z17" s="1750"/>
      <c r="AA17" s="1750"/>
      <c r="AB17" s="1750"/>
      <c r="AC17" s="1750"/>
      <c r="AD17" s="1750"/>
      <c r="AE17" s="1750"/>
      <c r="AF17" s="1814"/>
    </row>
    <row r="18" spans="1:32" ht="15" customHeight="1">
      <c r="A18" s="1815" t="s">
        <v>3950</v>
      </c>
      <c r="B18" s="1619"/>
      <c r="C18" s="1619"/>
      <c r="D18" s="1619"/>
      <c r="E18" s="1619"/>
      <c r="F18" s="1619"/>
      <c r="G18" s="1619"/>
      <c r="H18" s="1619"/>
      <c r="I18" s="1619"/>
      <c r="J18" s="1619"/>
      <c r="K18" s="1619"/>
      <c r="L18" s="1619"/>
      <c r="M18" s="1619"/>
      <c r="N18" s="1816"/>
      <c r="O18" s="269" t="s">
        <v>258</v>
      </c>
      <c r="P18" s="1817" t="s">
        <v>164</v>
      </c>
      <c r="Q18" s="1619"/>
      <c r="R18" s="1619"/>
      <c r="S18" s="1619"/>
      <c r="T18" s="1816"/>
      <c r="U18" s="269"/>
      <c r="V18" s="1817" t="s">
        <v>165</v>
      </c>
      <c r="W18" s="1619"/>
      <c r="X18" s="1619"/>
      <c r="Y18" s="1619"/>
      <c r="Z18" s="1818"/>
      <c r="AA18" s="269"/>
      <c r="AB18" s="1619" t="s">
        <v>166</v>
      </c>
      <c r="AC18" s="1619"/>
      <c r="AD18" s="1619"/>
      <c r="AE18" s="1619"/>
      <c r="AF18" s="1819"/>
    </row>
    <row r="19" spans="1:32" ht="4.5" customHeight="1">
      <c r="A19" s="1820"/>
      <c r="B19" s="1769"/>
      <c r="C19" s="1769"/>
      <c r="D19" s="1769"/>
      <c r="E19" s="1769"/>
      <c r="F19" s="1769"/>
      <c r="G19" s="587"/>
      <c r="H19" s="587"/>
      <c r="I19" s="587"/>
      <c r="J19" s="587"/>
      <c r="K19" s="587"/>
      <c r="L19" s="587"/>
      <c r="M19" s="587"/>
      <c r="N19" s="587"/>
      <c r="O19" s="587"/>
      <c r="P19" s="587"/>
      <c r="Q19" s="587"/>
      <c r="R19" s="587"/>
      <c r="S19" s="587"/>
      <c r="T19" s="587"/>
      <c r="U19" s="587"/>
      <c r="V19" s="587"/>
      <c r="W19" s="587"/>
      <c r="X19" s="587"/>
      <c r="Y19" s="587"/>
      <c r="Z19" s="587"/>
      <c r="AA19" s="587"/>
      <c r="AB19" s="587"/>
      <c r="AC19" s="587"/>
      <c r="AD19" s="1821"/>
      <c r="AE19" s="1822"/>
      <c r="AF19" s="1823"/>
    </row>
    <row r="20" spans="1:32" ht="15" customHeight="1">
      <c r="A20" s="1841" t="s">
        <v>123</v>
      </c>
      <c r="B20" s="1352"/>
      <c r="C20" s="1352"/>
      <c r="D20" s="1352"/>
      <c r="E20" s="1352"/>
      <c r="F20" s="568">
        <v>1</v>
      </c>
      <c r="G20" s="269"/>
      <c r="H20" s="588">
        <v>2</v>
      </c>
      <c r="I20" s="269"/>
      <c r="J20" s="588">
        <v>3</v>
      </c>
      <c r="K20" s="269"/>
      <c r="L20" s="588">
        <v>4</v>
      </c>
      <c r="M20" s="269"/>
      <c r="N20" s="588">
        <v>5</v>
      </c>
      <c r="O20" s="269"/>
      <c r="P20" s="588">
        <v>6</v>
      </c>
      <c r="Q20" s="269"/>
      <c r="R20" s="588">
        <v>7</v>
      </c>
      <c r="S20" s="269"/>
      <c r="T20" s="588">
        <v>8</v>
      </c>
      <c r="U20" s="269"/>
      <c r="V20" s="588">
        <v>9</v>
      </c>
      <c r="W20" s="269"/>
      <c r="X20" s="588">
        <v>10</v>
      </c>
      <c r="Y20" s="269"/>
      <c r="Z20" s="588">
        <v>11</v>
      </c>
      <c r="AA20" s="269"/>
      <c r="AB20" s="588">
        <v>12</v>
      </c>
      <c r="AC20" s="269"/>
      <c r="AD20" s="634" t="s">
        <v>239</v>
      </c>
      <c r="AE20" s="635" t="str">
        <f>+IF(EXACT(O18,"X"),"X","")</f>
        <v>X</v>
      </c>
      <c r="AF20" s="636"/>
    </row>
    <row r="21" spans="1:32" ht="4.5" customHeight="1">
      <c r="A21" s="1841"/>
      <c r="B21" s="1619"/>
      <c r="C21" s="1619"/>
      <c r="D21" s="1619"/>
      <c r="E21" s="1619"/>
      <c r="F21" s="1619"/>
      <c r="G21" s="587"/>
      <c r="H21" s="587"/>
      <c r="I21" s="587"/>
      <c r="J21" s="587"/>
      <c r="K21" s="587"/>
      <c r="L21" s="587"/>
      <c r="M21" s="587"/>
      <c r="N21" s="587"/>
      <c r="O21" s="587"/>
      <c r="P21" s="587"/>
      <c r="Q21" s="587"/>
      <c r="R21" s="587"/>
      <c r="S21" s="587"/>
      <c r="T21" s="587"/>
      <c r="U21" s="587"/>
      <c r="V21" s="587"/>
      <c r="W21" s="587"/>
      <c r="X21" s="587"/>
      <c r="Y21" s="587"/>
      <c r="Z21" s="587"/>
      <c r="AA21" s="587"/>
      <c r="AB21" s="587"/>
      <c r="AC21" s="587"/>
      <c r="AD21" s="1821"/>
      <c r="AE21" s="1822"/>
      <c r="AF21" s="1842"/>
    </row>
    <row r="22" spans="1:32" ht="15" customHeight="1">
      <c r="A22" s="1841" t="s">
        <v>124</v>
      </c>
      <c r="B22" s="1352"/>
      <c r="C22" s="1352"/>
      <c r="D22" s="1352"/>
      <c r="E22" s="1352"/>
      <c r="F22" s="568">
        <v>1</v>
      </c>
      <c r="G22" s="269"/>
      <c r="H22" s="588">
        <v>2</v>
      </c>
      <c r="I22" s="269"/>
      <c r="J22" s="588">
        <v>3</v>
      </c>
      <c r="K22" s="269"/>
      <c r="L22" s="588">
        <v>4</v>
      </c>
      <c r="M22" s="269"/>
      <c r="N22" s="588">
        <v>5</v>
      </c>
      <c r="O22" s="269"/>
      <c r="P22" s="588">
        <v>6</v>
      </c>
      <c r="Q22" s="269"/>
      <c r="R22" s="588">
        <v>7</v>
      </c>
      <c r="S22" s="269"/>
      <c r="T22" s="588">
        <v>8</v>
      </c>
      <c r="U22" s="269"/>
      <c r="V22" s="588">
        <v>9</v>
      </c>
      <c r="W22" s="269"/>
      <c r="X22" s="588">
        <v>10</v>
      </c>
      <c r="Y22" s="269"/>
      <c r="Z22" s="588">
        <v>11</v>
      </c>
      <c r="AA22" s="269"/>
      <c r="AB22" s="588">
        <v>12</v>
      </c>
      <c r="AC22" s="269"/>
      <c r="AD22" s="634" t="s">
        <v>239</v>
      </c>
      <c r="AE22" s="635" t="str">
        <f>+IF(EXACT(U18,"X"),"X","")</f>
        <v/>
      </c>
      <c r="AF22" s="636"/>
    </row>
    <row r="23" spans="1:32" ht="4.5" customHeight="1">
      <c r="A23" s="1841"/>
      <c r="B23" s="1619"/>
      <c r="C23" s="1619"/>
      <c r="D23" s="1619"/>
      <c r="E23" s="1619"/>
      <c r="F23" s="1619"/>
      <c r="G23" s="587"/>
      <c r="H23" s="587"/>
      <c r="I23" s="587"/>
      <c r="J23" s="587"/>
      <c r="K23" s="587"/>
      <c r="L23" s="587"/>
      <c r="M23" s="587"/>
      <c r="N23" s="587"/>
      <c r="O23" s="587"/>
      <c r="P23" s="587"/>
      <c r="Q23" s="587"/>
      <c r="R23" s="587"/>
      <c r="S23" s="587"/>
      <c r="T23" s="587"/>
      <c r="U23" s="587"/>
      <c r="V23" s="587"/>
      <c r="W23" s="587"/>
      <c r="X23" s="587"/>
      <c r="Y23" s="587"/>
      <c r="Z23" s="587"/>
      <c r="AA23" s="587"/>
      <c r="AB23" s="587"/>
      <c r="AC23" s="587"/>
      <c r="AD23" s="1821"/>
      <c r="AE23" s="1822"/>
      <c r="AF23" s="1823"/>
    </row>
    <row r="24" spans="1:32" ht="15" customHeight="1">
      <c r="A24" s="1830" t="s">
        <v>3813</v>
      </c>
      <c r="B24" s="1831"/>
      <c r="C24" s="1831"/>
      <c r="D24" s="1831"/>
      <c r="E24" s="1831"/>
      <c r="F24" s="568">
        <v>1</v>
      </c>
      <c r="G24" s="269"/>
      <c r="H24" s="588">
        <v>2</v>
      </c>
      <c r="I24" s="269"/>
      <c r="J24" s="588">
        <v>3</v>
      </c>
      <c r="K24" s="269"/>
      <c r="L24" s="588">
        <v>4</v>
      </c>
      <c r="M24" s="269"/>
      <c r="N24" s="588">
        <v>5</v>
      </c>
      <c r="O24" s="269"/>
      <c r="P24" s="588">
        <v>6</v>
      </c>
      <c r="Q24" s="269"/>
      <c r="R24" s="588">
        <v>7</v>
      </c>
      <c r="S24" s="269"/>
      <c r="T24" s="588">
        <v>8</v>
      </c>
      <c r="U24" s="269"/>
      <c r="V24" s="588">
        <v>9</v>
      </c>
      <c r="W24" s="269"/>
      <c r="X24" s="588">
        <v>10</v>
      </c>
      <c r="Y24" s="269"/>
      <c r="Z24" s="588">
        <v>11</v>
      </c>
      <c r="AA24" s="269"/>
      <c r="AB24" s="588">
        <v>12</v>
      </c>
      <c r="AC24" s="269"/>
      <c r="AD24" s="589" t="s">
        <v>239</v>
      </c>
      <c r="AE24" s="269"/>
      <c r="AF24" s="591"/>
    </row>
    <row r="25" spans="1:32" ht="21" customHeight="1">
      <c r="A25" s="1832"/>
      <c r="B25" s="1833"/>
      <c r="C25" s="1833"/>
      <c r="D25" s="1833"/>
      <c r="E25" s="1833"/>
      <c r="F25" s="409"/>
      <c r="G25" s="1834"/>
      <c r="H25" s="1801"/>
      <c r="I25" s="1801"/>
      <c r="J25" s="1801"/>
      <c r="K25" s="1801"/>
      <c r="L25" s="1801"/>
      <c r="M25" s="1801"/>
      <c r="N25" s="1801"/>
      <c r="O25" s="1801"/>
      <c r="P25" s="1801"/>
      <c r="Q25" s="1801"/>
      <c r="R25" s="1801"/>
      <c r="S25" s="1801"/>
      <c r="T25" s="1801"/>
      <c r="U25" s="1801"/>
      <c r="V25" s="1801"/>
      <c r="W25" s="1801"/>
      <c r="X25" s="1801"/>
      <c r="Y25" s="1801"/>
      <c r="Z25" s="1801"/>
      <c r="AA25" s="1801"/>
      <c r="AB25" s="1801"/>
      <c r="AC25" s="1801"/>
      <c r="AD25" s="1801"/>
      <c r="AE25" s="1801"/>
      <c r="AF25" s="1812"/>
    </row>
    <row r="26" spans="1:32" ht="15" customHeight="1">
      <c r="A26" s="1764" t="s">
        <v>3814</v>
      </c>
      <c r="B26" s="1806"/>
      <c r="C26" s="1806"/>
      <c r="D26" s="1806"/>
      <c r="E26" s="1806"/>
      <c r="F26" s="1806"/>
      <c r="G26" s="1806"/>
      <c r="H26" s="1806"/>
      <c r="I26" s="1806"/>
      <c r="J26" s="1806"/>
      <c r="K26" s="1806"/>
      <c r="L26" s="1806"/>
      <c r="M26" s="1806"/>
      <c r="N26" s="1806"/>
      <c r="O26" s="1806"/>
      <c r="P26" s="1806"/>
      <c r="Q26" s="1806"/>
      <c r="R26" s="1806"/>
      <c r="S26" s="1806"/>
      <c r="T26" s="1806"/>
      <c r="U26" s="1806"/>
      <c r="V26" s="1806"/>
      <c r="W26" s="1806"/>
      <c r="X26" s="1806"/>
      <c r="Y26" s="1806"/>
      <c r="Z26" s="1806"/>
      <c r="AA26" s="1806"/>
      <c r="AB26" s="1806"/>
      <c r="AC26" s="1806"/>
      <c r="AD26" s="1806"/>
      <c r="AE26" s="1806"/>
      <c r="AF26" s="1805"/>
    </row>
    <row r="27" spans="1:32" ht="4.5" customHeight="1">
      <c r="A27" s="1835"/>
      <c r="B27" s="1620"/>
      <c r="C27" s="1620"/>
      <c r="D27" s="1620"/>
      <c r="E27" s="1620"/>
      <c r="F27" s="1836"/>
      <c r="G27" s="1836"/>
      <c r="H27" s="1836"/>
      <c r="I27" s="1836"/>
      <c r="J27" s="1836"/>
      <c r="K27" s="1836"/>
      <c r="L27" s="1836"/>
      <c r="M27" s="1836"/>
      <c r="N27" s="1836"/>
      <c r="O27" s="1836"/>
      <c r="P27" s="1836"/>
      <c r="Q27" s="1836"/>
      <c r="R27" s="1836"/>
      <c r="S27" s="1836"/>
      <c r="T27" s="1836"/>
      <c r="U27" s="1836"/>
      <c r="V27" s="1836"/>
      <c r="W27" s="1836"/>
      <c r="X27" s="1836"/>
      <c r="Y27" s="1836"/>
      <c r="Z27" s="1836"/>
      <c r="AA27" s="1836"/>
      <c r="AB27" s="1836"/>
      <c r="AC27" s="1836"/>
      <c r="AD27" s="1836"/>
      <c r="AE27" s="1836"/>
      <c r="AF27" s="1819"/>
    </row>
    <row r="28" spans="1:32" ht="18" customHeight="1">
      <c r="A28" s="1837" t="s">
        <v>3815</v>
      </c>
      <c r="B28" s="1838"/>
      <c r="C28" s="1838"/>
      <c r="D28" s="1838"/>
      <c r="E28" s="1838"/>
      <c r="F28" s="844"/>
      <c r="G28" s="269"/>
      <c r="H28" s="1839"/>
      <c r="I28" s="1840"/>
      <c r="J28" s="1840"/>
      <c r="K28" s="1840"/>
      <c r="L28" s="1769" t="s">
        <v>3951</v>
      </c>
      <c r="M28" s="1840"/>
      <c r="N28" s="1840"/>
      <c r="O28" s="1840"/>
      <c r="P28" s="1840"/>
      <c r="Q28" s="1840"/>
      <c r="R28" s="1840"/>
      <c r="S28" s="1840"/>
      <c r="T28" s="1840"/>
      <c r="U28" s="1840"/>
      <c r="V28" s="1840"/>
      <c r="W28" s="1840"/>
      <c r="X28" s="1840"/>
      <c r="Y28" s="1840"/>
      <c r="Z28" s="1840"/>
      <c r="AA28" s="1840"/>
      <c r="AB28" s="1840"/>
      <c r="AC28" s="1840"/>
      <c r="AD28" s="844"/>
      <c r="AE28" s="269"/>
      <c r="AF28" s="574"/>
    </row>
    <row r="29" spans="1:32" ht="3.95" customHeight="1">
      <c r="A29" s="1820"/>
      <c r="B29" s="1352"/>
      <c r="C29" s="1352"/>
      <c r="D29" s="1352"/>
      <c r="E29" s="1352"/>
      <c r="F29" s="1352"/>
      <c r="G29" s="1352"/>
      <c r="H29" s="1352"/>
      <c r="I29" s="1352"/>
      <c r="J29" s="1352"/>
      <c r="K29" s="1352"/>
      <c r="L29" s="1352"/>
      <c r="M29" s="1352"/>
      <c r="N29" s="1352"/>
      <c r="O29" s="1352"/>
      <c r="P29" s="1352"/>
      <c r="Q29" s="1352"/>
      <c r="R29" s="1352"/>
      <c r="S29" s="1352"/>
      <c r="T29" s="1352"/>
      <c r="U29" s="1352"/>
      <c r="V29" s="1352"/>
      <c r="W29" s="1352"/>
      <c r="X29" s="1352"/>
      <c r="Y29" s="1352"/>
      <c r="Z29" s="1352"/>
      <c r="AA29" s="1352"/>
      <c r="AB29" s="1352"/>
      <c r="AC29" s="1352"/>
      <c r="AD29" s="1352"/>
      <c r="AE29" s="1352"/>
      <c r="AF29" s="844"/>
    </row>
    <row r="30" spans="1:32" ht="20.100000000000001" customHeight="1">
      <c r="A30" s="1837" t="s">
        <v>3816</v>
      </c>
      <c r="B30" s="1838"/>
      <c r="C30" s="1838"/>
      <c r="D30" s="1838"/>
      <c r="E30" s="1838"/>
      <c r="F30" s="844"/>
      <c r="G30" s="269"/>
      <c r="H30" s="1839"/>
      <c r="I30" s="1840"/>
      <c r="J30" s="1840"/>
      <c r="K30" s="1840"/>
      <c r="L30" s="1838" t="s">
        <v>3817</v>
      </c>
      <c r="M30" s="1849"/>
      <c r="N30" s="1849"/>
      <c r="O30" s="1849"/>
      <c r="P30" s="1849"/>
      <c r="Q30" s="1849"/>
      <c r="R30" s="1849"/>
      <c r="S30" s="1849"/>
      <c r="T30" s="1849"/>
      <c r="U30" s="1849"/>
      <c r="V30" s="1849"/>
      <c r="W30" s="1849"/>
      <c r="X30" s="1849"/>
      <c r="Y30" s="1849"/>
      <c r="Z30" s="1849"/>
      <c r="AA30" s="1849"/>
      <c r="AB30" s="1849"/>
      <c r="AC30" s="1849"/>
      <c r="AD30" s="844"/>
      <c r="AE30" s="269"/>
      <c r="AF30" s="574"/>
    </row>
    <row r="31" spans="1:32" ht="3.95" customHeight="1">
      <c r="A31" s="1820"/>
      <c r="B31" s="1352"/>
      <c r="C31" s="1352"/>
      <c r="D31" s="1352"/>
      <c r="E31" s="1352"/>
      <c r="F31" s="1352"/>
      <c r="G31" s="1352"/>
      <c r="H31" s="1352"/>
      <c r="I31" s="1352"/>
      <c r="J31" s="1352"/>
      <c r="K31" s="1352"/>
      <c r="L31" s="1352"/>
      <c r="M31" s="1352"/>
      <c r="N31" s="1352"/>
      <c r="O31" s="1352"/>
      <c r="P31" s="1352"/>
      <c r="Q31" s="1352"/>
      <c r="R31" s="1352"/>
      <c r="S31" s="1352"/>
      <c r="T31" s="1352"/>
      <c r="U31" s="1352"/>
      <c r="V31" s="1352"/>
      <c r="W31" s="1352"/>
      <c r="X31" s="1352"/>
      <c r="Y31" s="1352"/>
      <c r="Z31" s="1352"/>
      <c r="AA31" s="1352"/>
      <c r="AB31" s="1352"/>
      <c r="AC31" s="1352"/>
      <c r="AD31" s="1352"/>
      <c r="AE31" s="1352"/>
      <c r="AF31" s="844"/>
    </row>
    <row r="32" spans="1:32" ht="20.100000000000001" customHeight="1">
      <c r="A32" s="1837" t="s">
        <v>3818</v>
      </c>
      <c r="B32" s="1838"/>
      <c r="C32" s="1838"/>
      <c r="D32" s="1838"/>
      <c r="E32" s="1838"/>
      <c r="F32" s="844"/>
      <c r="G32" s="269"/>
      <c r="H32" s="1839"/>
      <c r="I32" s="1840"/>
      <c r="J32" s="1840"/>
      <c r="K32" s="1840"/>
      <c r="L32" s="1838" t="s">
        <v>3916</v>
      </c>
      <c r="M32" s="1849"/>
      <c r="N32" s="1849"/>
      <c r="O32" s="1849"/>
      <c r="P32" s="1849"/>
      <c r="Q32" s="1849"/>
      <c r="R32" s="1849"/>
      <c r="S32" s="1849"/>
      <c r="T32" s="1849"/>
      <c r="U32" s="1849"/>
      <c r="V32" s="1849"/>
      <c r="W32" s="1849"/>
      <c r="X32" s="1849"/>
      <c r="Y32" s="1849"/>
      <c r="Z32" s="1849"/>
      <c r="AA32" s="1849"/>
      <c r="AB32" s="1849"/>
      <c r="AC32" s="1849"/>
      <c r="AD32" s="844"/>
      <c r="AE32" s="269"/>
      <c r="AF32" s="574"/>
    </row>
    <row r="33" spans="1:65" ht="3.95" customHeight="1">
      <c r="A33" s="1843"/>
      <c r="B33" s="1801"/>
      <c r="C33" s="1801"/>
      <c r="D33" s="1801"/>
      <c r="E33" s="1801"/>
      <c r="F33" s="1801"/>
      <c r="G33" s="1801"/>
      <c r="H33" s="1801"/>
      <c r="I33" s="1801"/>
      <c r="J33" s="1801"/>
      <c r="K33" s="1801"/>
      <c r="L33" s="1801"/>
      <c r="M33" s="1801"/>
      <c r="N33" s="1801"/>
      <c r="O33" s="1801"/>
      <c r="P33" s="1801"/>
      <c r="Q33" s="1801"/>
      <c r="R33" s="1801"/>
      <c r="S33" s="1801"/>
      <c r="T33" s="1801"/>
      <c r="U33" s="1801"/>
      <c r="V33" s="1801"/>
      <c r="W33" s="1801"/>
      <c r="X33" s="1801"/>
      <c r="Y33" s="1801"/>
      <c r="Z33" s="1801"/>
      <c r="AA33" s="1801"/>
      <c r="AB33" s="1801"/>
      <c r="AC33" s="1801"/>
      <c r="AD33" s="1801"/>
      <c r="AE33" s="1801"/>
      <c r="AF33" s="1812"/>
    </row>
    <row r="34" spans="1:65">
      <c r="A34" s="1764" t="s">
        <v>3917</v>
      </c>
      <c r="B34" s="1806"/>
      <c r="C34" s="1806"/>
      <c r="D34" s="1806"/>
      <c r="E34" s="1806"/>
      <c r="F34" s="1806"/>
      <c r="G34" s="1806"/>
      <c r="H34" s="1806"/>
      <c r="I34" s="1806"/>
      <c r="J34" s="1806"/>
      <c r="K34" s="1806"/>
      <c r="L34" s="1806"/>
      <c r="M34" s="1806"/>
      <c r="N34" s="1806"/>
      <c r="O34" s="1806"/>
      <c r="P34" s="1806"/>
      <c r="Q34" s="1806"/>
      <c r="R34" s="1806"/>
      <c r="S34" s="1806"/>
      <c r="T34" s="1806"/>
      <c r="U34" s="1806"/>
      <c r="V34" s="1806"/>
      <c r="W34" s="1806"/>
      <c r="X34" s="1806"/>
      <c r="Y34" s="1806"/>
      <c r="Z34" s="1806"/>
      <c r="AA34" s="1806"/>
      <c r="AB34" s="1806"/>
      <c r="AC34" s="1806"/>
      <c r="AD34" s="1806"/>
      <c r="AE34" s="1806"/>
      <c r="AF34" s="1805"/>
    </row>
    <row r="35" spans="1:65" ht="5.0999999999999996" customHeight="1">
      <c r="A35" s="1813"/>
      <c r="B35" s="1750"/>
      <c r="C35" s="1750"/>
      <c r="D35" s="1750"/>
      <c r="E35" s="1750"/>
      <c r="F35" s="1750"/>
      <c r="G35" s="1750"/>
      <c r="H35" s="1750"/>
      <c r="I35" s="1750"/>
      <c r="J35" s="1750"/>
      <c r="K35" s="1750"/>
      <c r="L35" s="1750"/>
      <c r="M35" s="1750"/>
      <c r="N35" s="1750"/>
      <c r="O35" s="1750"/>
      <c r="P35" s="1750"/>
      <c r="Q35" s="1750"/>
      <c r="R35" s="1750"/>
      <c r="S35" s="1750"/>
      <c r="T35" s="1750"/>
      <c r="U35" s="1750"/>
      <c r="V35" s="1750"/>
      <c r="W35" s="1750"/>
      <c r="X35" s="1750"/>
      <c r="Y35" s="1813"/>
      <c r="Z35" s="1750"/>
      <c r="AA35" s="1750"/>
      <c r="AB35" s="1750"/>
      <c r="AC35" s="1750"/>
      <c r="AD35" s="1750"/>
      <c r="AE35" s="1750"/>
      <c r="AF35" s="1814"/>
    </row>
    <row r="36" spans="1:65" ht="18" customHeight="1">
      <c r="A36" s="1820" t="s">
        <v>3819</v>
      </c>
      <c r="B36" s="1352"/>
      <c r="C36" s="1352"/>
      <c r="D36" s="1352"/>
      <c r="E36" s="1352"/>
      <c r="F36" s="1352"/>
      <c r="G36" s="844"/>
      <c r="H36" s="1844">
        <f>+'1Př1'!F23</f>
        <v>0</v>
      </c>
      <c r="I36" s="1771"/>
      <c r="J36" s="1771"/>
      <c r="K36" s="1771"/>
      <c r="L36" s="1771"/>
      <c r="M36" s="1030"/>
      <c r="N36" s="1845" t="s">
        <v>202</v>
      </c>
      <c r="O36" s="1352"/>
      <c r="P36" s="1352"/>
      <c r="Q36" s="1352"/>
      <c r="R36" s="1352"/>
      <c r="S36" s="1352"/>
      <c r="T36" s="1352"/>
      <c r="U36" s="1352"/>
      <c r="V36" s="1352"/>
      <c r="W36" s="1352"/>
      <c r="X36" s="844"/>
      <c r="Y36" s="1846" t="s">
        <v>3678</v>
      </c>
      <c r="Z36" s="1847"/>
      <c r="AA36" s="1847"/>
      <c r="AB36" s="1847"/>
      <c r="AC36" s="1847"/>
      <c r="AD36" s="1847"/>
      <c r="AE36" s="1847"/>
      <c r="AF36" s="1848"/>
    </row>
    <row r="37" spans="1:65" ht="9.9499999999999993" customHeight="1">
      <c r="A37" s="1852"/>
      <c r="B37" s="1352"/>
      <c r="C37" s="1352"/>
      <c r="D37" s="1352"/>
      <c r="E37" s="1352"/>
      <c r="F37" s="1352"/>
      <c r="G37" s="1352"/>
      <c r="H37" s="1352"/>
      <c r="I37" s="1352"/>
      <c r="J37" s="1352"/>
      <c r="K37" s="1352"/>
      <c r="L37" s="1352"/>
      <c r="M37" s="1352"/>
      <c r="N37" s="1352"/>
      <c r="O37" s="1850" t="s">
        <v>168</v>
      </c>
      <c r="P37" s="1352"/>
      <c r="Q37" s="1352"/>
      <c r="R37" s="1352"/>
      <c r="S37" s="1352"/>
      <c r="T37" s="1850" t="s">
        <v>169</v>
      </c>
      <c r="U37" s="1352"/>
      <c r="V37" s="1352"/>
      <c r="W37" s="1853"/>
      <c r="X37" s="844"/>
      <c r="Y37" s="1852" t="s">
        <v>168</v>
      </c>
      <c r="Z37" s="1352"/>
      <c r="AA37" s="1352"/>
      <c r="AB37" s="1828"/>
      <c r="AC37" s="1352"/>
      <c r="AD37" s="1850" t="s">
        <v>169</v>
      </c>
      <c r="AE37" s="1352"/>
      <c r="AF37" s="844"/>
    </row>
    <row r="38" spans="1:65" ht="18" customHeight="1">
      <c r="A38" s="1820" t="s">
        <v>3820</v>
      </c>
      <c r="B38" s="1352"/>
      <c r="C38" s="1352"/>
      <c r="D38" s="1352"/>
      <c r="E38" s="1352"/>
      <c r="F38" s="1352"/>
      <c r="G38" s="1352"/>
      <c r="H38" s="1352"/>
      <c r="I38" s="1352"/>
      <c r="J38" s="1352"/>
      <c r="K38" s="1352"/>
      <c r="L38" s="1352"/>
      <c r="M38" s="1352"/>
      <c r="N38" s="1352"/>
      <c r="O38" s="844"/>
      <c r="P38" s="269">
        <f>+AU38</f>
        <v>12</v>
      </c>
      <c r="Q38" s="1820"/>
      <c r="R38" s="1352"/>
      <c r="S38" s="1352"/>
      <c r="T38" s="844"/>
      <c r="U38" s="269">
        <f>+AU40</f>
        <v>0</v>
      </c>
      <c r="V38" s="1851"/>
      <c r="W38" s="1352"/>
      <c r="X38" s="844"/>
      <c r="Y38" s="592"/>
      <c r="Z38" s="590"/>
      <c r="AA38" s="1820"/>
      <c r="AB38" s="1352"/>
      <c r="AC38" s="1352"/>
      <c r="AD38" s="844"/>
      <c r="AE38" s="590"/>
      <c r="AF38" s="575"/>
      <c r="AH38" s="27">
        <f>+IF(EXACT(AE20,"X"),12,0)</f>
        <v>12</v>
      </c>
      <c r="AI38" s="27">
        <f>+IF(EXACT(G20,"X"),1,0)</f>
        <v>0</v>
      </c>
      <c r="AJ38" s="27">
        <f>+IF(EXACT(I20,"X"),1,0)</f>
        <v>0</v>
      </c>
      <c r="AK38" s="27">
        <f>+IF(EXACT(K20,"X"),1,0)</f>
        <v>0</v>
      </c>
      <c r="AL38" s="27">
        <f>+IF(EXACT(M20,"X"),1,0)</f>
        <v>0</v>
      </c>
      <c r="AM38" s="27">
        <f>+IF(EXACT(O20,"X"),1,0)</f>
        <v>0</v>
      </c>
      <c r="AN38" s="27">
        <f>+IF(EXACT(Q20,"X"),1,0)</f>
        <v>0</v>
      </c>
      <c r="AO38" s="27">
        <f>+IF(EXACT(S20,"X"),1,0)</f>
        <v>0</v>
      </c>
      <c r="AP38" s="27">
        <f>+IF(EXACT(U20,"X"),1,0)</f>
        <v>0</v>
      </c>
      <c r="AQ38" s="27">
        <f>+IF(EXACT(W20,"X"),1,0)</f>
        <v>0</v>
      </c>
      <c r="AR38" s="27">
        <f>+IF(EXACT(Y20,"X"),1,0)</f>
        <v>0</v>
      </c>
      <c r="AS38" s="27">
        <f>+IF(EXACT(AA20,"X"),1,0)</f>
        <v>0</v>
      </c>
      <c r="AT38" s="27">
        <f>+IF(EXACT(AC20,"X"),1,0)</f>
        <v>0</v>
      </c>
      <c r="AU38" s="27">
        <f>+IF(AH38=12,12,+SUM(AI38:AT38))</f>
        <v>12</v>
      </c>
    </row>
    <row r="39" spans="1:65" ht="9.9499999999999993" customHeight="1">
      <c r="A39" s="1839"/>
      <c r="B39" s="1352"/>
      <c r="C39" s="1352"/>
      <c r="D39" s="1352"/>
      <c r="E39" s="1352"/>
      <c r="F39" s="1352"/>
      <c r="G39" s="1352"/>
      <c r="H39" s="1352"/>
      <c r="I39" s="1352"/>
      <c r="J39" s="1352"/>
      <c r="K39" s="1352"/>
      <c r="L39" s="1352"/>
      <c r="M39" s="1352"/>
      <c r="N39" s="1352"/>
      <c r="O39" s="1850" t="s">
        <v>168</v>
      </c>
      <c r="P39" s="1352"/>
      <c r="Q39" s="1352"/>
      <c r="R39" s="1352"/>
      <c r="S39" s="1352"/>
      <c r="T39" s="1850" t="s">
        <v>169</v>
      </c>
      <c r="U39" s="1352"/>
      <c r="V39" s="1352"/>
      <c r="W39" s="1853"/>
      <c r="X39" s="844"/>
      <c r="Y39" s="1852" t="s">
        <v>168</v>
      </c>
      <c r="Z39" s="1352"/>
      <c r="AA39" s="1352"/>
      <c r="AB39" s="1828"/>
      <c r="AC39" s="1352"/>
      <c r="AD39" s="1850" t="s">
        <v>169</v>
      </c>
      <c r="AE39" s="1352"/>
      <c r="AF39" s="844"/>
    </row>
    <row r="40" spans="1:65" s="570" customFormat="1" ht="18" customHeight="1">
      <c r="A40" s="1820" t="s">
        <v>3821</v>
      </c>
      <c r="B40" s="1352"/>
      <c r="C40" s="1352"/>
      <c r="D40" s="1352"/>
      <c r="E40" s="1352"/>
      <c r="F40" s="1352"/>
      <c r="G40" s="1352"/>
      <c r="H40" s="1352"/>
      <c r="I40" s="1352"/>
      <c r="J40" s="1352"/>
      <c r="K40" s="1352"/>
      <c r="L40" s="1352"/>
      <c r="M40" s="1352"/>
      <c r="N40" s="1352"/>
      <c r="O40" s="844"/>
      <c r="P40" s="269">
        <f>+P38</f>
        <v>12</v>
      </c>
      <c r="Q40" s="1820"/>
      <c r="R40" s="1352"/>
      <c r="S40" s="1352"/>
      <c r="T40" s="844"/>
      <c r="U40" s="269">
        <f>+U38</f>
        <v>0</v>
      </c>
      <c r="V40" s="1851"/>
      <c r="W40" s="1352"/>
      <c r="X40" s="844"/>
      <c r="Y40" s="592"/>
      <c r="Z40" s="590"/>
      <c r="AA40" s="1820"/>
      <c r="AB40" s="1352"/>
      <c r="AC40" s="1352"/>
      <c r="AD40" s="844"/>
      <c r="AE40" s="590"/>
      <c r="AF40" s="575"/>
      <c r="AG40" s="105"/>
      <c r="AH40" s="27">
        <f>+IF(EXACT(AE22,"X"),12,0)</f>
        <v>0</v>
      </c>
      <c r="AI40" s="27">
        <f>+IF(EXACT(G22,"X"),1,0)</f>
        <v>0</v>
      </c>
      <c r="AJ40" s="27">
        <f>+IF(EXACT(I22,"X"),1,0)</f>
        <v>0</v>
      </c>
      <c r="AK40" s="27">
        <f>+IF(EXACT(K22,"X"),1,0)</f>
        <v>0</v>
      </c>
      <c r="AL40" s="27">
        <f>+IF(EXACT(M22,"X"),1,0)</f>
        <v>0</v>
      </c>
      <c r="AM40" s="27">
        <f>+IF(EXACT(O22,"X"),1,0)</f>
        <v>0</v>
      </c>
      <c r="AN40" s="27">
        <f>+IF(EXACT(Q22,"X"),1,0)</f>
        <v>0</v>
      </c>
      <c r="AO40" s="27">
        <f>+IF(EXACT(S22,"X"),1,0)</f>
        <v>0</v>
      </c>
      <c r="AP40" s="27">
        <f>+IF(EXACT(U22,"X"),1,0)</f>
        <v>0</v>
      </c>
      <c r="AQ40" s="27">
        <f>+IF(EXACT(W22,"X"),1,0)</f>
        <v>0</v>
      </c>
      <c r="AR40" s="27">
        <f>+IF(EXACT(Y22,"X"),1,0)</f>
        <v>0</v>
      </c>
      <c r="AS40" s="27">
        <f>+IF(EXACT(AA22,"X"),1,0)</f>
        <v>0</v>
      </c>
      <c r="AT40" s="27">
        <f>+IF(EXACT(AC22,"X"),1,0)</f>
        <v>0</v>
      </c>
      <c r="AU40" s="27">
        <f>+IF(AH40=12,12,+SUM(AI40:AT40))</f>
        <v>0</v>
      </c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</row>
    <row r="41" spans="1:65" ht="5.0999999999999996" customHeight="1">
      <c r="A41" s="1839"/>
      <c r="B41" s="1352"/>
      <c r="C41" s="1352"/>
      <c r="D41" s="1352"/>
      <c r="E41" s="1352"/>
      <c r="F41" s="1352"/>
      <c r="G41" s="1352"/>
      <c r="H41" s="1352"/>
      <c r="I41" s="1352"/>
      <c r="J41" s="1352"/>
      <c r="K41" s="1352"/>
      <c r="L41" s="1352"/>
      <c r="M41" s="1352"/>
      <c r="N41" s="1352"/>
      <c r="O41" s="1352"/>
      <c r="P41" s="1352"/>
      <c r="Q41" s="1352"/>
      <c r="R41" s="1352"/>
      <c r="S41" s="1352"/>
      <c r="T41" s="1352"/>
      <c r="U41" s="1352"/>
      <c r="V41" s="1352"/>
      <c r="W41" s="1352"/>
      <c r="X41" s="844"/>
      <c r="Y41" s="1854"/>
      <c r="Z41" s="1853"/>
      <c r="AA41" s="1853"/>
      <c r="AB41" s="1853"/>
      <c r="AC41" s="1853"/>
      <c r="AD41" s="1853"/>
      <c r="AE41" s="1853"/>
      <c r="AF41" s="1855"/>
    </row>
    <row r="42" spans="1:65" ht="18" customHeight="1">
      <c r="A42" s="1820" t="s">
        <v>3918</v>
      </c>
      <c r="B42" s="1352"/>
      <c r="C42" s="1352"/>
      <c r="D42" s="1352"/>
      <c r="E42" s="1352"/>
      <c r="F42" s="1352"/>
      <c r="G42" s="1352"/>
      <c r="H42" s="1856">
        <f>+ROUND(IF(P40+U40=0,0,H36/(P40+U40)),2)</f>
        <v>0</v>
      </c>
      <c r="I42" s="1857"/>
      <c r="J42" s="1857"/>
      <c r="K42" s="1857"/>
      <c r="L42" s="1857"/>
      <c r="M42" s="1858"/>
      <c r="N42" s="1845" t="s">
        <v>202</v>
      </c>
      <c r="O42" s="1352"/>
      <c r="P42" s="1352"/>
      <c r="Q42" s="1352"/>
      <c r="R42" s="1352"/>
      <c r="S42" s="1352"/>
      <c r="T42" s="1352"/>
      <c r="U42" s="1352"/>
      <c r="V42" s="1352"/>
      <c r="W42" s="1352"/>
      <c r="X42" s="844"/>
      <c r="Y42" s="593"/>
      <c r="Z42" s="1859"/>
      <c r="AA42" s="1771"/>
      <c r="AB42" s="1771"/>
      <c r="AC42" s="1771"/>
      <c r="AD42" s="1771"/>
      <c r="AE42" s="1030"/>
      <c r="AF42" s="594" t="s">
        <v>202</v>
      </c>
    </row>
    <row r="43" spans="1:65" ht="8.1" customHeight="1">
      <c r="A43" s="1839"/>
      <c r="B43" s="1352"/>
      <c r="C43" s="1352"/>
      <c r="D43" s="1352"/>
      <c r="E43" s="1352"/>
      <c r="F43" s="1352"/>
      <c r="G43" s="1352"/>
      <c r="H43" s="1860" t="s">
        <v>3638</v>
      </c>
      <c r="I43" s="1861"/>
      <c r="J43" s="1861"/>
      <c r="K43" s="1861"/>
      <c r="L43" s="1861"/>
      <c r="M43" s="1861"/>
      <c r="N43" s="595"/>
      <c r="O43" s="595"/>
      <c r="P43" s="1862" t="s">
        <v>3639</v>
      </c>
      <c r="Q43" s="1863"/>
      <c r="R43" s="1863"/>
      <c r="S43" s="1863"/>
      <c r="T43" s="1863"/>
      <c r="U43" s="1863"/>
      <c r="V43" s="1828"/>
      <c r="W43" s="1352"/>
      <c r="X43" s="1352"/>
      <c r="Y43" s="1854"/>
      <c r="Z43" s="1853"/>
      <c r="AA43" s="1853"/>
      <c r="AB43" s="1853"/>
      <c r="AC43" s="1853"/>
      <c r="AD43" s="1853"/>
      <c r="AE43" s="1853"/>
      <c r="AF43" s="1855"/>
    </row>
    <row r="44" spans="1:65" ht="18" customHeight="1">
      <c r="A44" s="1820" t="s">
        <v>3919</v>
      </c>
      <c r="B44" s="1352"/>
      <c r="C44" s="1352"/>
      <c r="D44" s="1352"/>
      <c r="E44" s="1352"/>
      <c r="F44" s="1352"/>
      <c r="G44" s="844"/>
      <c r="H44" s="1844">
        <f>IF(OR(EXACT("X",AA18),EXACT("x",AA18)),+H42*P40,0)</f>
        <v>0</v>
      </c>
      <c r="I44" s="1771"/>
      <c r="J44" s="1771"/>
      <c r="K44" s="1771"/>
      <c r="L44" s="1771"/>
      <c r="M44" s="1030"/>
      <c r="N44" s="1845" t="s">
        <v>202</v>
      </c>
      <c r="O44" s="844"/>
      <c r="P44" s="1844">
        <f>IF(OR(EXACT("X",AA18),EXACT("x",AA18)),+H42*U40,0)</f>
        <v>0</v>
      </c>
      <c r="Q44" s="1771"/>
      <c r="R44" s="1771"/>
      <c r="S44" s="1771"/>
      <c r="T44" s="1771"/>
      <c r="U44" s="1030"/>
      <c r="V44" s="1864" t="s">
        <v>202</v>
      </c>
      <c r="W44" s="1352"/>
      <c r="X44" s="1352"/>
      <c r="Y44" s="593"/>
      <c r="Z44" s="1859"/>
      <c r="AA44" s="1771"/>
      <c r="AB44" s="1771"/>
      <c r="AC44" s="1771"/>
      <c r="AD44" s="1771"/>
      <c r="AE44" s="1030"/>
      <c r="AF44" s="594" t="s">
        <v>202</v>
      </c>
    </row>
    <row r="45" spans="1:65" ht="8.1" customHeight="1">
      <c r="A45" s="1839"/>
      <c r="B45" s="1352"/>
      <c r="C45" s="1352"/>
      <c r="D45" s="1352"/>
      <c r="E45" s="1352"/>
      <c r="F45" s="1352"/>
      <c r="G45" s="1352"/>
      <c r="H45" s="1860" t="s">
        <v>3638</v>
      </c>
      <c r="I45" s="1861"/>
      <c r="J45" s="1861"/>
      <c r="K45" s="1861"/>
      <c r="L45" s="1861"/>
      <c r="M45" s="1861"/>
      <c r="N45" s="595"/>
      <c r="O45" s="595"/>
      <c r="P45" s="1862" t="s">
        <v>3639</v>
      </c>
      <c r="Q45" s="1863"/>
      <c r="R45" s="1863"/>
      <c r="S45" s="1863"/>
      <c r="T45" s="1863"/>
      <c r="U45" s="1863"/>
      <c r="V45" s="1828"/>
      <c r="W45" s="1352"/>
      <c r="X45" s="1352"/>
      <c r="Y45" s="1854"/>
      <c r="Z45" s="1853"/>
      <c r="AA45" s="1853"/>
      <c r="AB45" s="1853"/>
      <c r="AC45" s="1853"/>
      <c r="AD45" s="1853"/>
      <c r="AE45" s="1853"/>
      <c r="AF45" s="1855"/>
    </row>
    <row r="46" spans="1:65" ht="18" customHeight="1">
      <c r="A46" s="1820" t="s">
        <v>3920</v>
      </c>
      <c r="B46" s="1352"/>
      <c r="C46" s="1352"/>
      <c r="D46" s="1352"/>
      <c r="E46" s="1352"/>
      <c r="F46" s="1352"/>
      <c r="G46" s="844"/>
      <c r="H46" s="1844">
        <f>+IF(OR(EXACT(O18,"X"),EXACT(O18,"x")),CEILING(H36*0.5,1),CEILING(+H44*0.5,1))</f>
        <v>0</v>
      </c>
      <c r="I46" s="1771"/>
      <c r="J46" s="1771"/>
      <c r="K46" s="1771"/>
      <c r="L46" s="1771"/>
      <c r="M46" s="1030"/>
      <c r="N46" s="1845" t="s">
        <v>202</v>
      </c>
      <c r="O46" s="844"/>
      <c r="P46" s="1844">
        <f>+IF(OR(EXACT(U18,"X"),EXACT(U18,"x")),ROUND(H36*0.5,0),ROUND(+P44*0.5,0))</f>
        <v>0</v>
      </c>
      <c r="Q46" s="1771"/>
      <c r="R46" s="1771"/>
      <c r="S46" s="1771"/>
      <c r="T46" s="1771"/>
      <c r="U46" s="1030"/>
      <c r="V46" s="1864" t="s">
        <v>202</v>
      </c>
      <c r="W46" s="1352"/>
      <c r="X46" s="1352"/>
      <c r="Y46" s="593"/>
      <c r="Z46" s="1859"/>
      <c r="AA46" s="1771"/>
      <c r="AB46" s="1771"/>
      <c r="AC46" s="1771"/>
      <c r="AD46" s="1771"/>
      <c r="AE46" s="1030"/>
      <c r="AF46" s="594" t="s">
        <v>202</v>
      </c>
    </row>
    <row r="47" spans="1:65" ht="8.1" customHeight="1">
      <c r="A47" s="1839"/>
      <c r="B47" s="1352"/>
      <c r="C47" s="1352"/>
      <c r="D47" s="1352"/>
      <c r="E47" s="1352"/>
      <c r="F47" s="1352"/>
      <c r="G47" s="1352"/>
      <c r="H47" s="1860" t="s">
        <v>3638</v>
      </c>
      <c r="I47" s="1861"/>
      <c r="J47" s="1861"/>
      <c r="K47" s="1861"/>
      <c r="L47" s="1861"/>
      <c r="M47" s="1861"/>
      <c r="N47" s="595"/>
      <c r="O47" s="595"/>
      <c r="P47" s="1862" t="s">
        <v>3639</v>
      </c>
      <c r="Q47" s="1863"/>
      <c r="R47" s="1863"/>
      <c r="S47" s="1863"/>
      <c r="T47" s="1863"/>
      <c r="U47" s="1863"/>
      <c r="V47" s="1828"/>
      <c r="W47" s="1352"/>
      <c r="X47" s="1352"/>
      <c r="Y47" s="1854"/>
      <c r="Z47" s="1853"/>
      <c r="AA47" s="1853"/>
      <c r="AB47" s="1853"/>
      <c r="AC47" s="1853"/>
      <c r="AD47" s="1853"/>
      <c r="AE47" s="1853"/>
      <c r="AF47" s="1855"/>
    </row>
    <row r="48" spans="1:65" ht="18" customHeight="1">
      <c r="A48" s="1820" t="s">
        <v>3921</v>
      </c>
      <c r="B48" s="1352"/>
      <c r="C48" s="1352"/>
      <c r="D48" s="1352"/>
      <c r="E48" s="1352"/>
      <c r="F48" s="1352"/>
      <c r="G48" s="844"/>
      <c r="H48" s="1844">
        <f>(IF(OR(EXACT(AA18,"X"),EXACT(AA18,"x")),+IF(P38&gt;0,8861*P40,0),0))</f>
        <v>0</v>
      </c>
      <c r="I48" s="1771"/>
      <c r="J48" s="1771"/>
      <c r="K48" s="1771"/>
      <c r="L48" s="1771"/>
      <c r="M48" s="1030"/>
      <c r="N48" s="1845" t="s">
        <v>202</v>
      </c>
      <c r="O48" s="844"/>
      <c r="P48" s="1844">
        <f>(IF(OR(EXACT(AA18,"X"),EXACT(AA18,"x")),+IF(U38&gt;0,3545*U40,0),0))</f>
        <v>0</v>
      </c>
      <c r="Q48" s="1771"/>
      <c r="R48" s="1771"/>
      <c r="S48" s="1771"/>
      <c r="T48" s="1771"/>
      <c r="U48" s="1030"/>
      <c r="V48" s="1864" t="s">
        <v>202</v>
      </c>
      <c r="W48" s="1352"/>
      <c r="X48" s="1352"/>
      <c r="Y48" s="593"/>
      <c r="Z48" s="1859"/>
      <c r="AA48" s="1771"/>
      <c r="AB48" s="1771"/>
      <c r="AC48" s="1771"/>
      <c r="AD48" s="1771"/>
      <c r="AE48" s="1030"/>
      <c r="AF48" s="594" t="s">
        <v>202</v>
      </c>
    </row>
    <row r="49" spans="1:32" ht="8.1" customHeight="1">
      <c r="A49" s="1839"/>
      <c r="B49" s="1352"/>
      <c r="C49" s="1352"/>
      <c r="D49" s="1352"/>
      <c r="E49" s="1352"/>
      <c r="F49" s="1352"/>
      <c r="G49" s="1352"/>
      <c r="H49" s="1352"/>
      <c r="I49" s="1352"/>
      <c r="J49" s="1352"/>
      <c r="K49" s="1352"/>
      <c r="L49" s="1352"/>
      <c r="M49" s="1352"/>
      <c r="N49" s="1352"/>
      <c r="O49" s="1352"/>
      <c r="P49" s="1352"/>
      <c r="Q49" s="1352"/>
      <c r="R49" s="1352"/>
      <c r="S49" s="1352"/>
      <c r="T49" s="1352"/>
      <c r="U49" s="1352"/>
      <c r="V49" s="1352"/>
      <c r="W49" s="1352"/>
      <c r="X49" s="844"/>
      <c r="Y49" s="1854"/>
      <c r="Z49" s="1853"/>
      <c r="AA49" s="1853"/>
      <c r="AB49" s="1853"/>
      <c r="AC49" s="1853"/>
      <c r="AD49" s="1853"/>
      <c r="AE49" s="1853"/>
      <c r="AF49" s="1855"/>
    </row>
    <row r="50" spans="1:32" ht="18" customHeight="1">
      <c r="A50" s="1820" t="s">
        <v>3922</v>
      </c>
      <c r="B50" s="1352"/>
      <c r="C50" s="1352"/>
      <c r="D50" s="1352"/>
      <c r="E50" s="1352"/>
      <c r="F50" s="1352"/>
      <c r="G50" s="844"/>
      <c r="H50" s="1844">
        <f>MIN(IF(OR(EXACT(O18,"X"),EXACT(O18,"x")),MAX(+P40*8861,H46),IF(OR(EXACT(U18,"X"),EXACT(U18,"x")),MAX(+U40*3545,P46),+MAX(H48,H46)+MAX(+P48,P46))),1701168)</f>
        <v>106332</v>
      </c>
      <c r="I50" s="1771"/>
      <c r="J50" s="1771"/>
      <c r="K50" s="1771"/>
      <c r="L50" s="1771"/>
      <c r="M50" s="1030"/>
      <c r="N50" s="1845" t="s">
        <v>202</v>
      </c>
      <c r="O50" s="1352"/>
      <c r="P50" s="1865" t="s">
        <v>3933</v>
      </c>
      <c r="Q50" s="1866"/>
      <c r="R50" s="1866"/>
      <c r="S50" s="1866"/>
      <c r="T50" s="1866"/>
      <c r="U50" s="1867"/>
      <c r="V50" s="1873"/>
      <c r="W50" s="1352"/>
      <c r="X50" s="844"/>
      <c r="Y50" s="593"/>
      <c r="Z50" s="1859"/>
      <c r="AA50" s="1771"/>
      <c r="AB50" s="1771"/>
      <c r="AC50" s="1771"/>
      <c r="AD50" s="1771"/>
      <c r="AE50" s="1030"/>
      <c r="AF50" s="594" t="s">
        <v>202</v>
      </c>
    </row>
    <row r="51" spans="1:32" ht="6.95" customHeight="1">
      <c r="A51" s="1839"/>
      <c r="B51" s="1352"/>
      <c r="C51" s="1352"/>
      <c r="D51" s="1352"/>
      <c r="E51" s="1352"/>
      <c r="F51" s="1352"/>
      <c r="G51" s="1352"/>
      <c r="H51" s="1876"/>
      <c r="I51" s="797"/>
      <c r="J51" s="797"/>
      <c r="K51" s="797"/>
      <c r="L51" s="797"/>
      <c r="M51" s="797"/>
      <c r="N51" s="1352"/>
      <c r="O51" s="1877"/>
      <c r="P51" s="1868"/>
      <c r="Q51" s="827"/>
      <c r="R51" s="827"/>
      <c r="S51" s="827"/>
      <c r="T51" s="827"/>
      <c r="U51" s="1869"/>
      <c r="V51" s="1874"/>
      <c r="W51" s="1352"/>
      <c r="X51" s="844"/>
      <c r="Y51" s="1878"/>
      <c r="Z51" s="1352"/>
      <c r="AA51" s="1352"/>
      <c r="AB51" s="1352"/>
      <c r="AC51" s="1352"/>
      <c r="AD51" s="1352"/>
      <c r="AE51" s="1352"/>
      <c r="AF51" s="844"/>
    </row>
    <row r="52" spans="1:32" ht="18" customHeight="1">
      <c r="A52" s="1820" t="s">
        <v>3923</v>
      </c>
      <c r="B52" s="1352"/>
      <c r="C52" s="1352"/>
      <c r="D52" s="1352"/>
      <c r="E52" s="1352"/>
      <c r="F52" s="1352"/>
      <c r="G52" s="844"/>
      <c r="H52" s="1844">
        <f>+H50</f>
        <v>106332</v>
      </c>
      <c r="I52" s="1771"/>
      <c r="J52" s="1771"/>
      <c r="K52" s="1771"/>
      <c r="L52" s="1771"/>
      <c r="M52" s="1030"/>
      <c r="N52" s="1845" t="s">
        <v>202</v>
      </c>
      <c r="O52" s="1352"/>
      <c r="P52" s="1868"/>
      <c r="Q52" s="827"/>
      <c r="R52" s="827"/>
      <c r="S52" s="827"/>
      <c r="T52" s="827"/>
      <c r="U52" s="1869"/>
      <c r="V52" s="1874"/>
      <c r="W52" s="1352"/>
      <c r="X52" s="844"/>
      <c r="Y52" s="1879"/>
      <c r="Z52" s="1352"/>
      <c r="AA52" s="1352"/>
      <c r="AB52" s="1352"/>
      <c r="AC52" s="1352"/>
      <c r="AD52" s="1352"/>
      <c r="AE52" s="1352"/>
      <c r="AF52" s="844"/>
    </row>
    <row r="53" spans="1:32" ht="7.5" customHeight="1">
      <c r="A53" s="1839"/>
      <c r="B53" s="1352"/>
      <c r="C53" s="1352"/>
      <c r="D53" s="1352"/>
      <c r="E53" s="1352"/>
      <c r="F53" s="1352"/>
      <c r="G53" s="1352"/>
      <c r="H53" s="1876"/>
      <c r="I53" s="797"/>
      <c r="J53" s="797"/>
      <c r="K53" s="797"/>
      <c r="L53" s="797"/>
      <c r="M53" s="797"/>
      <c r="N53" s="1352"/>
      <c r="O53" s="1877"/>
      <c r="P53" s="1868"/>
      <c r="Q53" s="827"/>
      <c r="R53" s="827"/>
      <c r="S53" s="827"/>
      <c r="T53" s="827"/>
      <c r="U53" s="1869"/>
      <c r="V53" s="1874"/>
      <c r="W53" s="1352"/>
      <c r="X53" s="844"/>
      <c r="Y53" s="1854"/>
      <c r="Z53" s="1853"/>
      <c r="AA53" s="1853"/>
      <c r="AB53" s="1853"/>
      <c r="AC53" s="1853"/>
      <c r="AD53" s="1853"/>
      <c r="AE53" s="1853"/>
      <c r="AF53" s="1855"/>
    </row>
    <row r="54" spans="1:32" ht="18" customHeight="1">
      <c r="A54" s="1820" t="s">
        <v>3924</v>
      </c>
      <c r="B54" s="1352"/>
      <c r="C54" s="1352"/>
      <c r="D54" s="1352"/>
      <c r="E54" s="1352"/>
      <c r="F54" s="1352"/>
      <c r="G54" s="844"/>
      <c r="H54" s="1844">
        <f>+'DAP2'!E4</f>
        <v>0</v>
      </c>
      <c r="I54" s="1809"/>
      <c r="J54" s="1809"/>
      <c r="K54" s="1809"/>
      <c r="L54" s="1809"/>
      <c r="M54" s="942"/>
      <c r="N54" s="1845" t="s">
        <v>202</v>
      </c>
      <c r="O54" s="1352"/>
      <c r="P54" s="1870"/>
      <c r="Q54" s="1871"/>
      <c r="R54" s="1871"/>
      <c r="S54" s="1871"/>
      <c r="T54" s="1871"/>
      <c r="U54" s="1872"/>
      <c r="V54" s="1874"/>
      <c r="W54" s="1352"/>
      <c r="X54" s="844"/>
      <c r="Y54" s="593"/>
      <c r="Z54" s="1859"/>
      <c r="AA54" s="1771"/>
      <c r="AB54" s="1771"/>
      <c r="AC54" s="1771"/>
      <c r="AD54" s="1771"/>
      <c r="AE54" s="1030"/>
      <c r="AF54" s="594" t="s">
        <v>202</v>
      </c>
    </row>
    <row r="55" spans="1:32" ht="7.5" customHeight="1">
      <c r="A55" s="1839"/>
      <c r="B55" s="1352"/>
      <c r="C55" s="1352"/>
      <c r="D55" s="1352"/>
      <c r="E55" s="1352"/>
      <c r="F55" s="1352"/>
      <c r="G55" s="1352"/>
      <c r="H55" s="1352"/>
      <c r="I55" s="1352"/>
      <c r="J55" s="1352"/>
      <c r="K55" s="1352"/>
      <c r="L55" s="1352"/>
      <c r="M55" s="1352"/>
      <c r="N55" s="1352"/>
      <c r="O55" s="1352"/>
      <c r="P55" s="1352"/>
      <c r="Q55" s="1352"/>
      <c r="R55" s="1352"/>
      <c r="S55" s="1352"/>
      <c r="T55" s="1352"/>
      <c r="U55" s="1352"/>
      <c r="V55" s="1352"/>
      <c r="W55" s="1352"/>
      <c r="X55" s="844"/>
      <c r="Y55" s="1854"/>
      <c r="Z55" s="1853"/>
      <c r="AA55" s="1853"/>
      <c r="AB55" s="1853"/>
      <c r="AC55" s="1853"/>
      <c r="AD55" s="1853"/>
      <c r="AE55" s="1853"/>
      <c r="AF55" s="1855"/>
    </row>
    <row r="56" spans="1:32" ht="18.75" customHeight="1">
      <c r="A56" s="1820" t="s">
        <v>3925</v>
      </c>
      <c r="B56" s="1352"/>
      <c r="C56" s="1352"/>
      <c r="D56" s="1352"/>
      <c r="E56" s="1352"/>
      <c r="F56" s="1352"/>
      <c r="G56" s="844"/>
      <c r="H56" s="1875">
        <f>+H54+H52</f>
        <v>106332</v>
      </c>
      <c r="I56" s="1771"/>
      <c r="J56" s="1771"/>
      <c r="K56" s="1771"/>
      <c r="L56" s="1771"/>
      <c r="M56" s="1030"/>
      <c r="N56" s="1845" t="s">
        <v>202</v>
      </c>
      <c r="O56" s="1352"/>
      <c r="P56" s="1352"/>
      <c r="Q56" s="1352"/>
      <c r="R56" s="1352"/>
      <c r="S56" s="1352"/>
      <c r="T56" s="1352"/>
      <c r="U56" s="1352"/>
      <c r="V56" s="1352"/>
      <c r="W56" s="1352"/>
      <c r="X56" s="844"/>
      <c r="Y56" s="593"/>
      <c r="Z56" s="1859"/>
      <c r="AA56" s="1771"/>
      <c r="AB56" s="1771"/>
      <c r="AC56" s="1771"/>
      <c r="AD56" s="1771"/>
      <c r="AE56" s="1030"/>
      <c r="AF56" s="594" t="s">
        <v>202</v>
      </c>
    </row>
    <row r="57" spans="1:32" ht="6.75" customHeight="1">
      <c r="A57" s="1839"/>
      <c r="B57" s="1352"/>
      <c r="C57" s="1352"/>
      <c r="D57" s="1352"/>
      <c r="E57" s="1352"/>
      <c r="F57" s="1352"/>
      <c r="G57" s="1352"/>
      <c r="H57" s="1352"/>
      <c r="I57" s="1352"/>
      <c r="J57" s="1352"/>
      <c r="K57" s="1352"/>
      <c r="L57" s="1352"/>
      <c r="M57" s="1352"/>
      <c r="N57" s="1352"/>
      <c r="O57" s="1352"/>
      <c r="P57" s="1352"/>
      <c r="Q57" s="1352"/>
      <c r="R57" s="1352"/>
      <c r="S57" s="1352"/>
      <c r="T57" s="1352"/>
      <c r="U57" s="1352"/>
      <c r="V57" s="1352"/>
      <c r="W57" s="1352"/>
      <c r="X57" s="844"/>
      <c r="Y57" s="1854"/>
      <c r="Z57" s="1853"/>
      <c r="AA57" s="1853"/>
      <c r="AB57" s="1853"/>
      <c r="AC57" s="1853"/>
      <c r="AD57" s="1853"/>
      <c r="AE57" s="1853"/>
      <c r="AF57" s="1855"/>
    </row>
    <row r="58" spans="1:32" ht="18.95" customHeight="1">
      <c r="A58" s="1820" t="s">
        <v>3926</v>
      </c>
      <c r="B58" s="1352"/>
      <c r="C58" s="1352"/>
      <c r="D58" s="1352"/>
      <c r="E58" s="1352"/>
      <c r="F58" s="1352"/>
      <c r="G58" s="844"/>
      <c r="H58" s="1875">
        <f>IF(H56&lt;1701168,H52,MAX(0,1701168-H54))</f>
        <v>106332</v>
      </c>
      <c r="I58" s="1771"/>
      <c r="J58" s="1771"/>
      <c r="K58" s="1771"/>
      <c r="L58" s="1771"/>
      <c r="M58" s="1030"/>
      <c r="N58" s="1845" t="s">
        <v>202</v>
      </c>
      <c r="O58" s="1352"/>
      <c r="P58" s="1352"/>
      <c r="Q58" s="1352"/>
      <c r="R58" s="1352"/>
      <c r="S58" s="1352"/>
      <c r="T58" s="1352"/>
      <c r="U58" s="1352"/>
      <c r="V58" s="1352"/>
      <c r="W58" s="1352"/>
      <c r="X58" s="844"/>
      <c r="Y58" s="593"/>
      <c r="Z58" s="1859"/>
      <c r="AA58" s="1771"/>
      <c r="AB58" s="1771"/>
      <c r="AC58" s="1771"/>
      <c r="AD58" s="1771"/>
      <c r="AE58" s="1030"/>
      <c r="AF58" s="594" t="s">
        <v>202</v>
      </c>
    </row>
    <row r="59" spans="1:32" ht="7.5" customHeight="1">
      <c r="A59" s="1839"/>
      <c r="B59" s="1352"/>
      <c r="C59" s="1352"/>
      <c r="D59" s="1352"/>
      <c r="E59" s="1352"/>
      <c r="F59" s="1352"/>
      <c r="G59" s="1352"/>
      <c r="H59" s="1352"/>
      <c r="I59" s="1352"/>
      <c r="J59" s="1352"/>
      <c r="K59" s="1352"/>
      <c r="L59" s="1352"/>
      <c r="M59" s="1352"/>
      <c r="N59" s="1352"/>
      <c r="O59" s="1352"/>
      <c r="P59" s="1352"/>
      <c r="Q59" s="1352"/>
      <c r="R59" s="1352"/>
      <c r="S59" s="1352"/>
      <c r="T59" s="1352"/>
      <c r="U59" s="1352"/>
      <c r="V59" s="1352"/>
      <c r="W59" s="1352"/>
      <c r="X59" s="844"/>
      <c r="Y59" s="1854"/>
      <c r="Z59" s="1853"/>
      <c r="AA59" s="1853"/>
      <c r="AB59" s="1853"/>
      <c r="AC59" s="1853"/>
      <c r="AD59" s="1853"/>
      <c r="AE59" s="1853"/>
      <c r="AF59" s="1855"/>
    </row>
    <row r="60" spans="1:32" ht="18.95" customHeight="1">
      <c r="A60" s="1820" t="s">
        <v>3927</v>
      </c>
      <c r="B60" s="1352"/>
      <c r="C60" s="1352"/>
      <c r="D60" s="1352"/>
      <c r="E60" s="1352"/>
      <c r="F60" s="1352"/>
      <c r="G60" s="844"/>
      <c r="H60" s="1875">
        <f>+CEILING(H58*0.292,1)</f>
        <v>31049</v>
      </c>
      <c r="I60" s="1771"/>
      <c r="J60" s="1771"/>
      <c r="K60" s="1771"/>
      <c r="L60" s="1771"/>
      <c r="M60" s="1030"/>
      <c r="N60" s="1845" t="s">
        <v>202</v>
      </c>
      <c r="O60" s="1352"/>
      <c r="P60" s="1352"/>
      <c r="Q60" s="1352"/>
      <c r="R60" s="1352"/>
      <c r="S60" s="1352"/>
      <c r="T60" s="1352"/>
      <c r="U60" s="1352"/>
      <c r="V60" s="1352"/>
      <c r="W60" s="1352"/>
      <c r="X60" s="844"/>
      <c r="Y60" s="593"/>
      <c r="Z60" s="1859"/>
      <c r="AA60" s="1771"/>
      <c r="AB60" s="1771"/>
      <c r="AC60" s="1771"/>
      <c r="AD60" s="1771"/>
      <c r="AE60" s="1030"/>
      <c r="AF60" s="594" t="s">
        <v>202</v>
      </c>
    </row>
    <row r="61" spans="1:32" ht="7.5" customHeight="1">
      <c r="A61" s="1839"/>
      <c r="B61" s="1352"/>
      <c r="C61" s="1352"/>
      <c r="D61" s="1352"/>
      <c r="E61" s="1352"/>
      <c r="F61" s="1352"/>
      <c r="G61" s="1352"/>
      <c r="H61" s="1352"/>
      <c r="I61" s="1352"/>
      <c r="J61" s="1352"/>
      <c r="K61" s="1352"/>
      <c r="L61" s="1352"/>
      <c r="M61" s="1352"/>
      <c r="N61" s="1352"/>
      <c r="O61" s="1352"/>
      <c r="P61" s="1352"/>
      <c r="Q61" s="1352"/>
      <c r="R61" s="1352"/>
      <c r="S61" s="1352"/>
      <c r="T61" s="1352"/>
      <c r="U61" s="1352"/>
      <c r="V61" s="1352"/>
      <c r="W61" s="1352"/>
      <c r="X61" s="844"/>
      <c r="Y61" s="1854"/>
      <c r="Z61" s="1853"/>
      <c r="AA61" s="1853"/>
      <c r="AB61" s="1853"/>
      <c r="AC61" s="1853"/>
      <c r="AD61" s="1853"/>
      <c r="AE61" s="1853"/>
      <c r="AF61" s="1855"/>
    </row>
    <row r="62" spans="1:32" ht="18.95" customHeight="1">
      <c r="A62" s="1820" t="s">
        <v>3928</v>
      </c>
      <c r="B62" s="1769"/>
      <c r="C62" s="1769"/>
      <c r="D62" s="1769"/>
      <c r="E62" s="1769"/>
      <c r="F62" s="1769"/>
      <c r="G62" s="1889"/>
      <c r="H62" s="1844">
        <v>0</v>
      </c>
      <c r="I62" s="1890"/>
      <c r="J62" s="1890"/>
      <c r="K62" s="1890"/>
      <c r="L62" s="1890"/>
      <c r="M62" s="1891"/>
      <c r="N62" s="1845" t="s">
        <v>202</v>
      </c>
      <c r="O62" s="1892"/>
      <c r="P62" s="1892"/>
      <c r="Q62" s="1892"/>
      <c r="R62" s="1892"/>
      <c r="S62" s="1892"/>
      <c r="T62" s="1892"/>
      <c r="U62" s="1892"/>
      <c r="V62" s="1892"/>
      <c r="W62" s="1892"/>
      <c r="X62" s="1893"/>
      <c r="Y62" s="593"/>
      <c r="Z62" s="1859"/>
      <c r="AA62" s="1894"/>
      <c r="AB62" s="1894"/>
      <c r="AC62" s="1894"/>
      <c r="AD62" s="1894"/>
      <c r="AE62" s="1895"/>
      <c r="AF62" s="594" t="s">
        <v>202</v>
      </c>
    </row>
    <row r="63" spans="1:32" ht="7.5" customHeight="1">
      <c r="A63" s="1839"/>
      <c r="B63" s="1352"/>
      <c r="C63" s="1352"/>
      <c r="D63" s="1352"/>
      <c r="E63" s="1352"/>
      <c r="F63" s="1352"/>
      <c r="G63" s="1352"/>
      <c r="H63" s="1352"/>
      <c r="I63" s="1352"/>
      <c r="J63" s="1352"/>
      <c r="K63" s="1352"/>
      <c r="L63" s="1352"/>
      <c r="M63" s="1352"/>
      <c r="N63" s="1352"/>
      <c r="O63" s="1352"/>
      <c r="P63" s="1352"/>
      <c r="Q63" s="1352"/>
      <c r="R63" s="1352"/>
      <c r="S63" s="1352"/>
      <c r="T63" s="1352"/>
      <c r="U63" s="1352"/>
      <c r="V63" s="1352"/>
      <c r="W63" s="1352"/>
      <c r="X63" s="844"/>
      <c r="Y63" s="1854"/>
      <c r="Z63" s="1853"/>
      <c r="AA63" s="1853"/>
      <c r="AB63" s="1853"/>
      <c r="AC63" s="1853"/>
      <c r="AD63" s="1853"/>
      <c r="AE63" s="1853"/>
      <c r="AF63" s="1855"/>
    </row>
    <row r="64" spans="1:32" ht="18.95" customHeight="1">
      <c r="A64" s="1901" t="s">
        <v>3929</v>
      </c>
      <c r="B64" s="1831"/>
      <c r="C64" s="1831"/>
      <c r="D64" s="827"/>
      <c r="E64" s="827"/>
      <c r="F64" s="827"/>
      <c r="G64" s="827"/>
      <c r="H64" s="1875">
        <f>+H60-H62</f>
        <v>31049</v>
      </c>
      <c r="I64" s="1771"/>
      <c r="J64" s="1771"/>
      <c r="K64" s="1771"/>
      <c r="L64" s="1771"/>
      <c r="M64" s="1030"/>
      <c r="N64" s="1845" t="s">
        <v>202</v>
      </c>
      <c r="O64" s="1352"/>
      <c r="P64" s="1352"/>
      <c r="Q64" s="1352"/>
      <c r="R64" s="1352"/>
      <c r="S64" s="1352"/>
      <c r="T64" s="1352"/>
      <c r="U64" s="1352"/>
      <c r="V64" s="1352"/>
      <c r="W64" s="1352"/>
      <c r="X64" s="844"/>
      <c r="Y64" s="593"/>
      <c r="Z64" s="1859"/>
      <c r="AA64" s="1771"/>
      <c r="AB64" s="1771"/>
      <c r="AC64" s="1771"/>
      <c r="AD64" s="1771"/>
      <c r="AE64" s="1030"/>
      <c r="AF64" s="594" t="s">
        <v>202</v>
      </c>
    </row>
    <row r="65" spans="1:65" ht="7.5" customHeight="1">
      <c r="A65" s="1902"/>
      <c r="B65" s="1831"/>
      <c r="C65" s="1831"/>
      <c r="D65" s="827"/>
      <c r="E65" s="827"/>
      <c r="F65" s="827"/>
      <c r="G65" s="827"/>
      <c r="H65" s="1853"/>
      <c r="I65" s="1853"/>
      <c r="J65" s="1853"/>
      <c r="K65" s="1853"/>
      <c r="L65" s="1853"/>
      <c r="M65" s="1853"/>
      <c r="N65" s="1853"/>
      <c r="O65" s="1853"/>
      <c r="P65" s="1853"/>
      <c r="Q65" s="1853"/>
      <c r="R65" s="1853"/>
      <c r="S65" s="1853"/>
      <c r="T65" s="1853"/>
      <c r="U65" s="1853"/>
      <c r="V65" s="1853"/>
      <c r="W65" s="1853"/>
      <c r="X65" s="1855"/>
      <c r="Y65" s="1854"/>
      <c r="Z65" s="1853"/>
      <c r="AA65" s="1853"/>
      <c r="AB65" s="1853"/>
      <c r="AC65" s="1853"/>
      <c r="AD65" s="1853"/>
      <c r="AE65" s="1853"/>
      <c r="AF65" s="1855"/>
    </row>
    <row r="66" spans="1:65" s="692" customFormat="1" ht="21.95" customHeight="1">
      <c r="A66" s="1882" t="s">
        <v>3930</v>
      </c>
      <c r="B66" s="1750"/>
      <c r="C66" s="1750"/>
      <c r="D66" s="1750"/>
      <c r="E66" s="1750"/>
      <c r="F66" s="1750"/>
      <c r="G66" s="1750"/>
      <c r="H66" s="1750"/>
      <c r="I66" s="1750"/>
      <c r="J66" s="1750"/>
      <c r="K66" s="1750"/>
      <c r="L66" s="1750"/>
      <c r="M66" s="1750"/>
      <c r="N66" s="1750"/>
      <c r="O66" s="1750"/>
      <c r="P66" s="1750"/>
      <c r="Q66" s="1750"/>
      <c r="R66" s="1750"/>
      <c r="S66" s="1750"/>
      <c r="T66" s="1750"/>
      <c r="U66" s="1750"/>
      <c r="V66" s="1750"/>
      <c r="W66" s="1750"/>
      <c r="X66" s="1750"/>
      <c r="Y66" s="1750"/>
      <c r="Z66" s="1750"/>
      <c r="AA66" s="1750"/>
      <c r="AB66" s="1750"/>
      <c r="AC66" s="1750"/>
      <c r="AD66" s="1771"/>
      <c r="AE66" s="1750"/>
      <c r="AF66" s="1883"/>
      <c r="AG66" s="27"/>
      <c r="AH66" s="696"/>
      <c r="AI66" s="696"/>
      <c r="AJ66" s="696"/>
      <c r="AK66" s="696"/>
      <c r="AL66" s="696"/>
      <c r="AM66" s="696"/>
      <c r="AN66" s="696"/>
      <c r="AO66" s="693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</row>
    <row r="67" spans="1:65" s="692" customFormat="1" ht="21.95" customHeight="1">
      <c r="A67" s="1885" t="s">
        <v>3931</v>
      </c>
      <c r="B67" s="1886"/>
      <c r="C67" s="1886"/>
      <c r="D67" s="1886"/>
      <c r="E67" s="1886"/>
      <c r="F67" s="1886"/>
      <c r="G67" s="1886"/>
      <c r="H67" s="1886"/>
      <c r="I67" s="1886"/>
      <c r="J67" s="1886"/>
      <c r="K67" s="1886"/>
      <c r="L67" s="1886"/>
      <c r="M67" s="1886"/>
      <c r="N67" s="1886"/>
      <c r="O67" s="1886"/>
      <c r="P67" s="1886"/>
      <c r="Q67" s="1886"/>
      <c r="R67" s="1886"/>
      <c r="S67" s="1886"/>
      <c r="T67" s="1886"/>
      <c r="U67" s="1886"/>
      <c r="V67" s="1886"/>
      <c r="W67" s="1886"/>
      <c r="X67" s="1886"/>
      <c r="Y67" s="1884"/>
      <c r="Z67" s="1884"/>
      <c r="AA67" s="1884"/>
      <c r="AB67" s="1884"/>
      <c r="AC67" s="697" t="s">
        <v>236</v>
      </c>
      <c r="AD67" s="699"/>
      <c r="AE67" s="698" t="s">
        <v>141</v>
      </c>
      <c r="AF67" s="699" t="s">
        <v>258</v>
      </c>
      <c r="AG67" s="27"/>
      <c r="AH67" s="695"/>
      <c r="AI67" s="1880" t="s">
        <v>236</v>
      </c>
      <c r="AJ67" s="1881"/>
      <c r="AK67" s="269"/>
      <c r="AL67" s="1880" t="s">
        <v>141</v>
      </c>
      <c r="AM67" s="1881"/>
      <c r="AN67" s="269" t="s">
        <v>258</v>
      </c>
      <c r="AO67" s="694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</row>
    <row r="68" spans="1:65" ht="42.75" customHeight="1">
      <c r="A68" s="1896"/>
      <c r="B68" s="797"/>
      <c r="C68" s="797"/>
      <c r="D68" s="797"/>
      <c r="E68" s="797"/>
      <c r="F68" s="797"/>
      <c r="G68" s="797"/>
      <c r="H68" s="797"/>
      <c r="I68" s="797"/>
      <c r="J68" s="797"/>
      <c r="K68" s="797"/>
      <c r="L68" s="797"/>
      <c r="M68" s="797"/>
      <c r="N68" s="797"/>
      <c r="O68" s="797"/>
      <c r="P68" s="797"/>
      <c r="Q68" s="797"/>
      <c r="R68" s="797"/>
      <c r="S68" s="797"/>
      <c r="T68" s="797"/>
      <c r="U68" s="797"/>
      <c r="V68" s="797"/>
      <c r="W68" s="797"/>
      <c r="X68" s="797"/>
      <c r="Y68" s="1352"/>
      <c r="Z68" s="1352"/>
      <c r="AA68" s="1352"/>
      <c r="AB68" s="1352"/>
      <c r="AC68" s="1352"/>
      <c r="AD68" s="1887" t="s">
        <v>170</v>
      </c>
      <c r="AE68" s="1887"/>
      <c r="AF68" s="1888"/>
    </row>
    <row r="69" spans="1:65">
      <c r="A69" s="1897" t="str">
        <f>+'DAP1'!A46</f>
        <v>Formulář zpracovala ASPEKT HM, daňová, účetní a auditorská kancelář, www.danovapriznani.cz, business.center.cz</v>
      </c>
      <c r="B69" s="1863"/>
      <c r="C69" s="1863"/>
      <c r="D69" s="1863"/>
      <c r="E69" s="1863"/>
      <c r="F69" s="1863"/>
      <c r="G69" s="1863"/>
      <c r="H69" s="1863"/>
      <c r="I69" s="1863"/>
      <c r="J69" s="1863"/>
      <c r="K69" s="1863"/>
      <c r="L69" s="1863"/>
      <c r="M69" s="1863"/>
      <c r="N69" s="1863"/>
      <c r="O69" s="1863"/>
      <c r="P69" s="1863"/>
      <c r="Q69" s="1863"/>
      <c r="R69" s="1863"/>
      <c r="S69" s="1863"/>
      <c r="T69" s="1863"/>
      <c r="U69" s="1863"/>
      <c r="V69" s="1863"/>
      <c r="W69" s="1863"/>
      <c r="X69" s="1863"/>
      <c r="Y69" s="596"/>
      <c r="Z69" s="596"/>
      <c r="AA69" s="596"/>
      <c r="AB69" s="1898" t="s">
        <v>3932</v>
      </c>
      <c r="AC69" s="1899"/>
      <c r="AD69" s="1899"/>
      <c r="AE69" s="1899"/>
      <c r="AF69" s="1900"/>
    </row>
    <row r="70" spans="1:6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</row>
    <row r="71" spans="1:6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</row>
    <row r="72" spans="1:6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</row>
    <row r="73" spans="1:6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</row>
    <row r="74" spans="1:6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</row>
    <row r="75" spans="1:6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</row>
    <row r="76" spans="1:6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</row>
    <row r="77" spans="1:6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</row>
    <row r="78" spans="1:6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</row>
    <row r="79" spans="1:6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</row>
    <row r="80" spans="1:6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</row>
    <row r="81" spans="1:3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</row>
    <row r="82" spans="1:3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</row>
    <row r="83" spans="1:3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</row>
    <row r="84" spans="1:3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</row>
    <row r="85" spans="1:3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</row>
    <row r="86" spans="1:3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</row>
    <row r="87" spans="1:3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</row>
    <row r="88" spans="1:3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</row>
    <row r="89" spans="1:3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</row>
    <row r="90" spans="1:3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</row>
    <row r="91" spans="1:3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</row>
    <row r="92" spans="1:3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</row>
    <row r="93" spans="1:3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</row>
    <row r="94" spans="1:3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</row>
    <row r="95" spans="1:3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</row>
    <row r="96" spans="1:3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</row>
    <row r="97" spans="1:3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</row>
    <row r="98" spans="1:3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</row>
    <row r="99" spans="1:3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</row>
    <row r="100" spans="1:3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</row>
    <row r="101" spans="1:3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</row>
    <row r="102" spans="1:3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</row>
    <row r="103" spans="1:3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</row>
    <row r="104" spans="1:3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</row>
    <row r="105" spans="1:3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</row>
    <row r="106" spans="1:3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</row>
    <row r="107" spans="1:3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</row>
    <row r="108" spans="1:3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</row>
    <row r="109" spans="1:3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</row>
    <row r="110" spans="1:3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</row>
    <row r="111" spans="1:3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</row>
    <row r="112" spans="1:3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</row>
    <row r="113" spans="1:3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</row>
    <row r="114" spans="1:3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</row>
    <row r="115" spans="1:3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</row>
    <row r="116" spans="1:3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</row>
    <row r="117" spans="1:3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</row>
    <row r="118" spans="1:3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</row>
    <row r="119" spans="1:3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</row>
    <row r="120" spans="1:3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</row>
    <row r="121" spans="1:3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</row>
    <row r="122" spans="1:3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</row>
    <row r="123" spans="1:3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</row>
    <row r="124" spans="1:3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</row>
    <row r="125" spans="1:3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</row>
    <row r="126" spans="1:3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</row>
    <row r="127" spans="1:3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</row>
    <row r="128" spans="1:3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</row>
    <row r="129" spans="1:3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</row>
    <row r="130" spans="1:3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</row>
    <row r="131" spans="1:3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</row>
    <row r="132" spans="1:3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</row>
    <row r="133" spans="1:3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</row>
    <row r="134" spans="1:3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</row>
    <row r="135" spans="1:3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</row>
    <row r="136" spans="1:3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</row>
    <row r="137" spans="1:3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</row>
    <row r="138" spans="1:3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</row>
    <row r="139" spans="1:3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</row>
    <row r="140" spans="1:3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</row>
    <row r="141" spans="1:3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</row>
    <row r="142" spans="1:3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</row>
    <row r="143" spans="1:3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</row>
    <row r="144" spans="1:3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</row>
    <row r="145" spans="1:3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</row>
    <row r="146" spans="1:3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</row>
    <row r="147" spans="1:3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</row>
    <row r="148" spans="1:3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</row>
    <row r="149" spans="1:3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</row>
    <row r="150" spans="1:3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</row>
    <row r="151" spans="1:3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</row>
    <row r="152" spans="1:3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</row>
    <row r="153" spans="1:3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</row>
    <row r="154" spans="1:3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</row>
    <row r="155" spans="1:3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</row>
    <row r="156" spans="1:3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</row>
    <row r="157" spans="1:3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</row>
    <row r="158" spans="1:3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</row>
    <row r="159" spans="1:3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</row>
    <row r="160" spans="1:32" s="27" customFormat="1"/>
    <row r="161" s="27" customFormat="1"/>
  </sheetData>
  <sheetProtection algorithmName="SHA-512" hashValue="0JJmAwRw31sMklx5oKNBhMqs76bFbrOEAO9EJmRxhzd8T/beVeLDJfaYfZT8EDGeCMySpq+NsXDsWyV8Dv5XkQ==" saltValue="x7OoRSR9twNjiXhdfSaSFg==" spinCount="100000" sheet="1" objects="1" scenarios="1"/>
  <mergeCells count="204">
    <mergeCell ref="A69:X69"/>
    <mergeCell ref="AB69:AF69"/>
    <mergeCell ref="A64:C65"/>
    <mergeCell ref="D64:G65"/>
    <mergeCell ref="H64:M64"/>
    <mergeCell ref="N64:X64"/>
    <mergeCell ref="Z64:AE64"/>
    <mergeCell ref="H65:X65"/>
    <mergeCell ref="Y65:AF65"/>
    <mergeCell ref="AI67:AJ67"/>
    <mergeCell ref="AL67:AM67"/>
    <mergeCell ref="A66:AF66"/>
    <mergeCell ref="Y67:AB67"/>
    <mergeCell ref="A67:X67"/>
    <mergeCell ref="AD68:AF68"/>
    <mergeCell ref="A62:G62"/>
    <mergeCell ref="H62:M62"/>
    <mergeCell ref="N62:X62"/>
    <mergeCell ref="Z62:AE62"/>
    <mergeCell ref="A63:X63"/>
    <mergeCell ref="Y63:AF63"/>
    <mergeCell ref="A68:AC68"/>
    <mergeCell ref="A61:X61"/>
    <mergeCell ref="Y61:AF61"/>
    <mergeCell ref="A60:G60"/>
    <mergeCell ref="H60:M60"/>
    <mergeCell ref="N60:X60"/>
    <mergeCell ref="Z60:AE60"/>
    <mergeCell ref="A58:G58"/>
    <mergeCell ref="H58:M58"/>
    <mergeCell ref="N58:X58"/>
    <mergeCell ref="Z58:AE58"/>
    <mergeCell ref="A59:X59"/>
    <mergeCell ref="Y59:AF59"/>
    <mergeCell ref="A56:G56"/>
    <mergeCell ref="H56:M56"/>
    <mergeCell ref="N56:X56"/>
    <mergeCell ref="Z56:AE56"/>
    <mergeCell ref="A57:X57"/>
    <mergeCell ref="Y57:AF57"/>
    <mergeCell ref="A55:X55"/>
    <mergeCell ref="Y55:AF55"/>
    <mergeCell ref="H51:O51"/>
    <mergeCell ref="Y51:AF52"/>
    <mergeCell ref="A52:G52"/>
    <mergeCell ref="H52:M52"/>
    <mergeCell ref="N52:O52"/>
    <mergeCell ref="A53:G53"/>
    <mergeCell ref="H53:O53"/>
    <mergeCell ref="Y53:AF53"/>
    <mergeCell ref="A49:X49"/>
    <mergeCell ref="Y49:AF49"/>
    <mergeCell ref="A50:G50"/>
    <mergeCell ref="H50:M50"/>
    <mergeCell ref="N50:O50"/>
    <mergeCell ref="P50:U54"/>
    <mergeCell ref="V50:X54"/>
    <mergeCell ref="Z50:AE50"/>
    <mergeCell ref="A51:G51"/>
    <mergeCell ref="A54:G54"/>
    <mergeCell ref="H54:M54"/>
    <mergeCell ref="N54:O54"/>
    <mergeCell ref="Z54:AE54"/>
    <mergeCell ref="A47:G47"/>
    <mergeCell ref="H47:M47"/>
    <mergeCell ref="P47:U47"/>
    <mergeCell ref="V47:X47"/>
    <mergeCell ref="Y47:AF47"/>
    <mergeCell ref="A48:G48"/>
    <mergeCell ref="H48:M48"/>
    <mergeCell ref="N48:O48"/>
    <mergeCell ref="P48:U48"/>
    <mergeCell ref="V48:X48"/>
    <mergeCell ref="Z48:AE48"/>
    <mergeCell ref="A46:G46"/>
    <mergeCell ref="H46:M46"/>
    <mergeCell ref="N46:O46"/>
    <mergeCell ref="P46:U46"/>
    <mergeCell ref="V46:X46"/>
    <mergeCell ref="Z46:AE46"/>
    <mergeCell ref="Z44:AE44"/>
    <mergeCell ref="A45:G45"/>
    <mergeCell ref="H45:M45"/>
    <mergeCell ref="P45:U45"/>
    <mergeCell ref="V45:X45"/>
    <mergeCell ref="Y45:AF45"/>
    <mergeCell ref="A43:G43"/>
    <mergeCell ref="H43:M43"/>
    <mergeCell ref="P43:U43"/>
    <mergeCell ref="V43:X43"/>
    <mergeCell ref="Y43:AF43"/>
    <mergeCell ref="A44:G44"/>
    <mergeCell ref="H44:M44"/>
    <mergeCell ref="N44:O44"/>
    <mergeCell ref="P44:U44"/>
    <mergeCell ref="V44:X44"/>
    <mergeCell ref="A41:X41"/>
    <mergeCell ref="Y41:AF41"/>
    <mergeCell ref="A42:G42"/>
    <mergeCell ref="H42:M42"/>
    <mergeCell ref="N42:X42"/>
    <mergeCell ref="Z42:AE42"/>
    <mergeCell ref="AB39:AC39"/>
    <mergeCell ref="AD39:AF39"/>
    <mergeCell ref="A40:O40"/>
    <mergeCell ref="Q40:T40"/>
    <mergeCell ref="V40:X40"/>
    <mergeCell ref="AA40:AD40"/>
    <mergeCell ref="A39:N39"/>
    <mergeCell ref="O39:Q39"/>
    <mergeCell ref="R39:S39"/>
    <mergeCell ref="T39:V39"/>
    <mergeCell ref="W39:X39"/>
    <mergeCell ref="Y39:AA39"/>
    <mergeCell ref="AB37:AC37"/>
    <mergeCell ref="AD37:AF37"/>
    <mergeCell ref="A38:O38"/>
    <mergeCell ref="Q38:T38"/>
    <mergeCell ref="V38:X38"/>
    <mergeCell ref="AA38:AD38"/>
    <mergeCell ref="A37:N37"/>
    <mergeCell ref="O37:Q37"/>
    <mergeCell ref="R37:S37"/>
    <mergeCell ref="T37:V37"/>
    <mergeCell ref="W37:X37"/>
    <mergeCell ref="Y37:AA37"/>
    <mergeCell ref="A33:AF33"/>
    <mergeCell ref="A34:AF34"/>
    <mergeCell ref="A35:X35"/>
    <mergeCell ref="Y35:AF35"/>
    <mergeCell ref="A36:G36"/>
    <mergeCell ref="H36:M36"/>
    <mergeCell ref="N36:X36"/>
    <mergeCell ref="Y36:AF36"/>
    <mergeCell ref="A29:AF29"/>
    <mergeCell ref="A30:F30"/>
    <mergeCell ref="H30:K30"/>
    <mergeCell ref="L30:AD30"/>
    <mergeCell ref="A31:AF31"/>
    <mergeCell ref="A32:F32"/>
    <mergeCell ref="H32:K32"/>
    <mergeCell ref="L32:AD32"/>
    <mergeCell ref="A24:E25"/>
    <mergeCell ref="G25:AF25"/>
    <mergeCell ref="A26:AF26"/>
    <mergeCell ref="A27:AF27"/>
    <mergeCell ref="A28:F28"/>
    <mergeCell ref="H28:K28"/>
    <mergeCell ref="L28:AD28"/>
    <mergeCell ref="A20:E20"/>
    <mergeCell ref="A21:F21"/>
    <mergeCell ref="AD21:AF21"/>
    <mergeCell ref="A22:E22"/>
    <mergeCell ref="A23:F23"/>
    <mergeCell ref="AD23:AF23"/>
    <mergeCell ref="A17:AF17"/>
    <mergeCell ref="A18:N18"/>
    <mergeCell ref="P18:T18"/>
    <mergeCell ref="V18:Z18"/>
    <mergeCell ref="AB18:AF18"/>
    <mergeCell ref="A19:F19"/>
    <mergeCell ref="AD19:AF19"/>
    <mergeCell ref="A14:B14"/>
    <mergeCell ref="D14:N14"/>
    <mergeCell ref="P14:W14"/>
    <mergeCell ref="Y14:AF14"/>
    <mergeCell ref="A15:AF15"/>
    <mergeCell ref="A16:AF16"/>
    <mergeCell ref="A12:B12"/>
    <mergeCell ref="D12:N12"/>
    <mergeCell ref="P12:T12"/>
    <mergeCell ref="V12:AF12"/>
    <mergeCell ref="A13:B13"/>
    <mergeCell ref="D13:N13"/>
    <mergeCell ref="P13:W13"/>
    <mergeCell ref="Y13:AF13"/>
    <mergeCell ref="A10:F10"/>
    <mergeCell ref="H10:O10"/>
    <mergeCell ref="Q10:W10"/>
    <mergeCell ref="Y10:AF10"/>
    <mergeCell ref="A11:B11"/>
    <mergeCell ref="D11:N11"/>
    <mergeCell ref="P11:T11"/>
    <mergeCell ref="V11:AF11"/>
    <mergeCell ref="B1:Z1"/>
    <mergeCell ref="AA1:AE3"/>
    <mergeCell ref="B2:Z2"/>
    <mergeCell ref="A3:C3"/>
    <mergeCell ref="E3:I3"/>
    <mergeCell ref="S3:W3"/>
    <mergeCell ref="A7:AF7"/>
    <mergeCell ref="A8:AF8"/>
    <mergeCell ref="A9:F9"/>
    <mergeCell ref="H9:J9"/>
    <mergeCell ref="Q9:W9"/>
    <mergeCell ref="Y9:AF9"/>
    <mergeCell ref="A4:J4"/>
    <mergeCell ref="L4:P4"/>
    <mergeCell ref="R4:AF4"/>
    <mergeCell ref="A5:F5"/>
    <mergeCell ref="G5:T6"/>
    <mergeCell ref="U5:AF5"/>
    <mergeCell ref="A6:F6"/>
    <mergeCell ref="U6:AF6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0" orientation="portrait" r:id="rId1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D34A6-C4E2-4143-8481-752AEF3669E1}">
  <sheetPr>
    <tabColor rgb="FFFFFF99"/>
    <pageSetUpPr fitToPage="1"/>
  </sheetPr>
  <dimension ref="A1:CI1061"/>
  <sheetViews>
    <sheetView workbookViewId="0">
      <selection activeCell="G7" sqref="G7"/>
    </sheetView>
  </sheetViews>
  <sheetFormatPr defaultColWidth="9.140625" defaultRowHeight="12.75"/>
  <cols>
    <col min="1" max="2" width="2.42578125" style="127" customWidth="1"/>
    <col min="3" max="3" width="16.7109375" style="127" customWidth="1"/>
    <col min="4" max="4" width="3.140625" style="127" customWidth="1"/>
    <col min="5" max="5" width="2.42578125" style="127" customWidth="1"/>
    <col min="6" max="6" width="1.7109375" style="127" customWidth="1"/>
    <col min="7" max="40" width="2.42578125" style="127" customWidth="1"/>
    <col min="41" max="41" width="3" style="127" customWidth="1"/>
    <col min="42" max="81" width="9.140625" style="27"/>
    <col min="82" max="16384" width="9.140625" style="127"/>
  </cols>
  <sheetData>
    <row r="1" spans="1:83" ht="18" customHeight="1">
      <c r="A1" s="1760"/>
      <c r="B1" s="1777"/>
      <c r="C1" s="1777"/>
      <c r="D1" s="1909" t="s">
        <v>3949</v>
      </c>
      <c r="E1" s="1909"/>
      <c r="F1" s="1909"/>
      <c r="G1" s="1909"/>
      <c r="H1" s="1909"/>
      <c r="I1" s="1909"/>
      <c r="J1" s="1909"/>
      <c r="K1" s="1909"/>
      <c r="L1" s="1777"/>
      <c r="M1" s="1777"/>
      <c r="N1" s="1777"/>
      <c r="O1" s="1777"/>
      <c r="P1" s="1777"/>
      <c r="Q1" s="1777"/>
      <c r="R1" s="1777"/>
      <c r="S1" s="1777"/>
      <c r="T1" s="1777"/>
      <c r="U1" s="1777"/>
      <c r="V1" s="1777"/>
      <c r="W1" s="1777"/>
      <c r="X1" s="1777"/>
      <c r="Y1" s="1777"/>
      <c r="Z1" s="1777"/>
      <c r="AA1" s="1777"/>
      <c r="AB1" s="1777"/>
      <c r="AC1" s="1777"/>
      <c r="AD1" s="1777"/>
      <c r="AE1" s="1777"/>
      <c r="AF1" s="1777"/>
      <c r="AG1" s="1777"/>
      <c r="AH1" s="1777"/>
      <c r="AI1" s="1777"/>
      <c r="AJ1" s="582"/>
      <c r="AK1" s="582"/>
      <c r="AL1" s="582"/>
      <c r="AM1" s="582"/>
      <c r="AN1" s="582"/>
      <c r="AO1" s="582"/>
      <c r="CD1" s="27"/>
      <c r="CE1" s="27"/>
    </row>
    <row r="2" spans="1:83">
      <c r="A2" s="1777"/>
      <c r="B2" s="1777"/>
      <c r="C2" s="1777"/>
      <c r="D2" s="1910"/>
      <c r="E2" s="1076"/>
      <c r="F2" s="1076"/>
      <c r="G2" s="1076"/>
      <c r="H2" s="1076"/>
      <c r="I2" s="1076"/>
      <c r="J2" s="1076"/>
      <c r="K2" s="1076"/>
      <c r="L2" s="1076"/>
      <c r="M2" s="1076"/>
      <c r="N2" s="1911" t="s">
        <v>158</v>
      </c>
      <c r="O2" s="1912"/>
      <c r="P2" s="1912"/>
      <c r="Q2" s="1912"/>
      <c r="R2" s="1912"/>
      <c r="S2" s="1912"/>
      <c r="T2" s="1912"/>
      <c r="U2" s="1912"/>
      <c r="V2" s="1912"/>
      <c r="W2" s="1777"/>
      <c r="X2" s="1076"/>
      <c r="Y2" s="1076"/>
      <c r="Z2" s="1076"/>
      <c r="AA2" s="1076"/>
      <c r="AB2" s="1076"/>
      <c r="AC2" s="1076"/>
      <c r="AD2" s="1076"/>
      <c r="AE2" s="1076"/>
      <c r="AF2" s="1076"/>
      <c r="AG2" s="1076"/>
      <c r="AH2" s="1076"/>
      <c r="AI2" s="597"/>
      <c r="AJ2" s="582"/>
      <c r="AK2" s="582"/>
      <c r="AL2" s="582"/>
      <c r="AM2" s="582"/>
      <c r="AN2" s="582"/>
      <c r="AO2" s="582"/>
      <c r="CD2" s="27"/>
      <c r="CE2" s="27"/>
    </row>
    <row r="3" spans="1:83">
      <c r="A3" s="1777"/>
      <c r="B3" s="1777"/>
      <c r="C3" s="1777"/>
      <c r="D3" s="1076"/>
      <c r="E3" s="1076"/>
      <c r="F3" s="1076"/>
      <c r="G3" s="1076"/>
      <c r="H3" s="1076"/>
      <c r="I3" s="1076"/>
      <c r="J3" s="1076"/>
      <c r="K3" s="1076"/>
      <c r="L3" s="1076"/>
      <c r="M3" s="1076"/>
      <c r="N3" s="1913" t="str">
        <f>+'SP1'!Y10</f>
        <v/>
      </c>
      <c r="O3" s="1914"/>
      <c r="P3" s="1914"/>
      <c r="Q3" s="1914"/>
      <c r="R3" s="1914"/>
      <c r="S3" s="1914"/>
      <c r="T3" s="1914"/>
      <c r="U3" s="1914"/>
      <c r="V3" s="1492"/>
      <c r="W3" s="1915"/>
      <c r="X3" s="1916"/>
      <c r="Y3" s="1916"/>
      <c r="Z3" s="1916"/>
      <c r="AA3" s="1916"/>
      <c r="AB3" s="1916"/>
      <c r="AC3" s="1916"/>
      <c r="AD3" s="1916"/>
      <c r="AE3" s="1916"/>
      <c r="AF3" s="1916"/>
      <c r="AG3" s="1916"/>
      <c r="AH3" s="1916"/>
      <c r="AI3" s="1916"/>
      <c r="AJ3" s="1916"/>
      <c r="AK3" s="1916"/>
      <c r="AL3" s="1916"/>
      <c r="AM3" s="1916"/>
      <c r="AN3" s="1916"/>
      <c r="AO3" s="1916"/>
      <c r="CD3" s="27"/>
      <c r="CE3" s="27"/>
    </row>
    <row r="4" spans="1:83" ht="5.0999999999999996" customHeight="1">
      <c r="A4" s="1760"/>
      <c r="B4" s="1760"/>
      <c r="C4" s="1760"/>
      <c r="D4" s="1760"/>
      <c r="E4" s="1760"/>
      <c r="F4" s="1760"/>
      <c r="G4" s="1760"/>
      <c r="H4" s="1760"/>
      <c r="I4" s="1760"/>
      <c r="J4" s="1760"/>
      <c r="K4" s="1760"/>
      <c r="L4" s="1760"/>
      <c r="M4" s="1760"/>
      <c r="N4" s="1760"/>
      <c r="O4" s="1760"/>
      <c r="P4" s="1760"/>
      <c r="Q4" s="1760"/>
      <c r="R4" s="1760"/>
      <c r="S4" s="1760"/>
      <c r="T4" s="1760"/>
      <c r="U4" s="1760"/>
      <c r="V4" s="1760"/>
      <c r="W4" s="1760"/>
      <c r="X4" s="1760"/>
      <c r="Y4" s="1760"/>
      <c r="Z4" s="1760"/>
      <c r="AA4" s="1760"/>
      <c r="AB4" s="1777"/>
      <c r="AC4" s="1777"/>
      <c r="AD4" s="1777"/>
      <c r="AE4" s="1777"/>
      <c r="AF4" s="1777"/>
      <c r="AG4" s="1777"/>
      <c r="AH4" s="1777"/>
      <c r="AI4" s="1777"/>
      <c r="AJ4" s="1777"/>
      <c r="AK4" s="1777"/>
      <c r="AL4" s="1777"/>
      <c r="AM4" s="1777"/>
      <c r="AN4" s="1777"/>
      <c r="AO4" s="1777"/>
    </row>
    <row r="5" spans="1:83" ht="12" customHeight="1">
      <c r="A5" s="1764" t="s">
        <v>3934</v>
      </c>
      <c r="B5" s="1806"/>
      <c r="C5" s="1806"/>
      <c r="D5" s="1806"/>
      <c r="E5" s="1806"/>
      <c r="F5" s="1806"/>
      <c r="G5" s="1806"/>
      <c r="H5" s="1806"/>
      <c r="I5" s="1806"/>
      <c r="J5" s="1806"/>
      <c r="K5" s="1806"/>
      <c r="L5" s="1806"/>
      <c r="M5" s="1806"/>
      <c r="N5" s="1806"/>
      <c r="O5" s="1806"/>
      <c r="P5" s="1806"/>
      <c r="Q5" s="1806"/>
      <c r="R5" s="1806"/>
      <c r="S5" s="1806"/>
      <c r="T5" s="1806"/>
      <c r="U5" s="1806"/>
      <c r="V5" s="1806"/>
      <c r="W5" s="1806"/>
      <c r="X5" s="1806"/>
      <c r="Y5" s="1806"/>
      <c r="Z5" s="1806"/>
      <c r="AA5" s="1806"/>
      <c r="AB5" s="1806"/>
      <c r="AC5" s="1806"/>
      <c r="AD5" s="1806"/>
      <c r="AE5" s="1806"/>
      <c r="AF5" s="1806"/>
      <c r="AG5" s="1806"/>
      <c r="AH5" s="1806"/>
      <c r="AI5" s="1806"/>
      <c r="AJ5" s="1806"/>
      <c r="AK5" s="1806"/>
      <c r="AL5" s="1806"/>
      <c r="AM5" s="1806"/>
      <c r="AN5" s="1806"/>
      <c r="AO5" s="1805"/>
    </row>
    <row r="6" spans="1:83" ht="4.5" customHeight="1" thickBot="1">
      <c r="A6" s="1839"/>
      <c r="B6" s="1352"/>
      <c r="C6" s="1352"/>
      <c r="D6" s="1352"/>
      <c r="E6" s="1352"/>
      <c r="F6" s="1352"/>
      <c r="G6" s="1352"/>
      <c r="H6" s="1352"/>
      <c r="I6" s="1352"/>
      <c r="J6" s="1352"/>
      <c r="K6" s="1352"/>
      <c r="L6" s="1352"/>
      <c r="M6" s="1352"/>
      <c r="N6" s="1352"/>
      <c r="O6" s="1352"/>
      <c r="P6" s="1352"/>
      <c r="Q6" s="1352"/>
      <c r="R6" s="1352"/>
      <c r="S6" s="1352"/>
      <c r="T6" s="1352"/>
      <c r="U6" s="1352"/>
      <c r="V6" s="1352"/>
      <c r="W6" s="1352"/>
      <c r="X6" s="1352"/>
      <c r="Y6" s="1352"/>
      <c r="Z6" s="1352"/>
      <c r="AA6" s="1352"/>
      <c r="AB6" s="1352"/>
      <c r="AC6" s="1352"/>
      <c r="AD6" s="1352"/>
      <c r="AE6" s="1352"/>
      <c r="AF6" s="1352"/>
      <c r="AG6" s="1352"/>
      <c r="AH6" s="1352"/>
      <c r="AI6" s="1352"/>
      <c r="AJ6" s="1352"/>
      <c r="AK6" s="1352"/>
      <c r="AL6" s="1352"/>
      <c r="AM6" s="1352"/>
      <c r="AN6" s="1352"/>
      <c r="AO6" s="844"/>
    </row>
    <row r="7" spans="1:83" ht="18.75" customHeight="1" thickBot="1">
      <c r="A7" s="1903" t="s">
        <v>3935</v>
      </c>
      <c r="B7" s="827"/>
      <c r="C7" s="827"/>
      <c r="D7" s="827"/>
      <c r="E7" s="827"/>
      <c r="F7" s="1904"/>
      <c r="G7" s="269" t="s">
        <v>258</v>
      </c>
      <c r="H7" s="1820" t="s">
        <v>168</v>
      </c>
      <c r="I7" s="1352"/>
      <c r="J7" s="1352"/>
      <c r="K7" s="844"/>
      <c r="L7" s="269"/>
      <c r="M7" s="1820" t="s">
        <v>169</v>
      </c>
      <c r="N7" s="1352"/>
      <c r="O7" s="1352"/>
      <c r="P7" s="1352"/>
      <c r="Q7" s="1352"/>
      <c r="R7" s="1769" t="s">
        <v>3937</v>
      </c>
      <c r="S7" s="1769"/>
      <c r="T7" s="1769"/>
      <c r="U7" s="1769"/>
      <c r="V7" s="1769"/>
      <c r="W7" s="1769"/>
      <c r="X7" s="1769"/>
      <c r="Y7" s="1769"/>
      <c r="Z7" s="1769"/>
      <c r="AA7" s="1769"/>
      <c r="AB7" s="1769"/>
      <c r="AC7" s="1769"/>
      <c r="AD7" s="1905">
        <f>IF(('SP1'!P38+'SP1'!U38)=0,0,CEILING(IF(OR(EXACT(G7,"X"),EXACT(G7,"x")),MIN(155647,MAX(9729,'SP1'!H36*0.5/('SP1'!P38+'SP1'!U38))),MIN(155647,MAX(3893,'SP1'!H36*0.5/('SP1'!P38+'SP1'!U38)))),1))</f>
        <v>9729</v>
      </c>
      <c r="AE7" s="1906"/>
      <c r="AF7" s="1906"/>
      <c r="AG7" s="1906"/>
      <c r="AH7" s="1906"/>
      <c r="AI7" s="1906"/>
      <c r="AJ7" s="1906"/>
      <c r="AK7" s="1906"/>
      <c r="AL7" s="1907"/>
      <c r="AM7" s="1908" t="s">
        <v>202</v>
      </c>
      <c r="AN7" s="1352"/>
      <c r="AO7" s="844"/>
    </row>
    <row r="8" spans="1:83" ht="5.0999999999999996" customHeight="1" thickBot="1">
      <c r="A8" s="1839"/>
      <c r="B8" s="1352"/>
      <c r="C8" s="1352"/>
      <c r="D8" s="1352"/>
      <c r="E8" s="1352"/>
      <c r="F8" s="1352"/>
      <c r="G8" s="1352"/>
      <c r="H8" s="1352"/>
      <c r="I8" s="1352"/>
      <c r="J8" s="1352"/>
      <c r="K8" s="1352"/>
      <c r="L8" s="1352"/>
      <c r="M8" s="1352"/>
      <c r="N8" s="1352"/>
      <c r="O8" s="1352"/>
      <c r="P8" s="1352"/>
      <c r="Q8" s="1352"/>
      <c r="R8" s="1352"/>
      <c r="S8" s="1352"/>
      <c r="T8" s="1352"/>
      <c r="U8" s="1352"/>
      <c r="V8" s="1352"/>
      <c r="W8" s="1352"/>
      <c r="X8" s="1352"/>
      <c r="Y8" s="1352"/>
      <c r="Z8" s="1352"/>
      <c r="AA8" s="1352"/>
      <c r="AB8" s="1352"/>
      <c r="AC8" s="1352"/>
      <c r="AD8" s="1352"/>
      <c r="AE8" s="1352"/>
      <c r="AF8" s="1352"/>
      <c r="AG8" s="1352"/>
      <c r="AH8" s="1352"/>
      <c r="AI8" s="1352"/>
      <c r="AJ8" s="1352"/>
      <c r="AK8" s="1352"/>
      <c r="AL8" s="1352"/>
      <c r="AM8" s="1352"/>
      <c r="AN8" s="1352"/>
      <c r="AO8" s="844"/>
    </row>
    <row r="9" spans="1:83" ht="18.95" customHeight="1" thickBot="1">
      <c r="A9" s="1820" t="s">
        <v>3939</v>
      </c>
      <c r="B9" s="1352"/>
      <c r="C9" s="1352"/>
      <c r="D9" s="1352"/>
      <c r="E9" s="1352"/>
      <c r="F9" s="1352"/>
      <c r="G9" s="1924">
        <f>+CEILING(AD7*0.292,1)</f>
        <v>2841</v>
      </c>
      <c r="H9" s="1925"/>
      <c r="I9" s="1925"/>
      <c r="J9" s="1925"/>
      <c r="K9" s="1925"/>
      <c r="L9" s="1925"/>
      <c r="M9" s="1925"/>
      <c r="N9" s="1925"/>
      <c r="O9" s="1926"/>
      <c r="P9" s="1927" t="s">
        <v>202</v>
      </c>
      <c r="Q9" s="827"/>
      <c r="R9" s="1769" t="s">
        <v>3938</v>
      </c>
      <c r="S9" s="1769"/>
      <c r="T9" s="1769"/>
      <c r="U9" s="1769"/>
      <c r="V9" s="1769"/>
      <c r="W9" s="1769"/>
      <c r="X9" s="1769"/>
      <c r="Y9" s="1769"/>
      <c r="Z9" s="1769"/>
      <c r="AA9" s="1769"/>
      <c r="AB9" s="1769"/>
      <c r="AC9" s="1928"/>
      <c r="AD9" s="1905">
        <f>+CEILING(MAX(147,+'SP1'!H52/('SP1'!P40+'SP1'!U40)*0.021),1)</f>
        <v>187</v>
      </c>
      <c r="AE9" s="1906"/>
      <c r="AF9" s="1906"/>
      <c r="AG9" s="1906"/>
      <c r="AH9" s="1906"/>
      <c r="AI9" s="1906"/>
      <c r="AJ9" s="1906"/>
      <c r="AK9" s="1906"/>
      <c r="AL9" s="1907"/>
      <c r="AM9" s="1908" t="s">
        <v>202</v>
      </c>
      <c r="AN9" s="1352"/>
      <c r="AO9" s="844"/>
    </row>
    <row r="10" spans="1:83" ht="4.5" customHeight="1">
      <c r="A10" s="1839"/>
      <c r="B10" s="1352"/>
      <c r="C10" s="1352"/>
      <c r="D10" s="1352"/>
      <c r="E10" s="1352"/>
      <c r="F10" s="1352"/>
      <c r="G10" s="1352"/>
      <c r="H10" s="1352"/>
      <c r="I10" s="1352"/>
      <c r="J10" s="1352"/>
      <c r="K10" s="1352"/>
      <c r="L10" s="1352"/>
      <c r="M10" s="1352"/>
      <c r="N10" s="1352"/>
      <c r="O10" s="1352"/>
      <c r="P10" s="1352"/>
      <c r="Q10" s="1352"/>
      <c r="R10" s="1352"/>
      <c r="S10" s="1352"/>
      <c r="T10" s="1352"/>
      <c r="U10" s="1352"/>
      <c r="V10" s="1352"/>
      <c r="W10" s="1352"/>
      <c r="X10" s="1352"/>
      <c r="Y10" s="1352"/>
      <c r="Z10" s="1352"/>
      <c r="AA10" s="1352"/>
      <c r="AB10" s="1352"/>
      <c r="AC10" s="1352"/>
      <c r="AD10" s="1352"/>
      <c r="AE10" s="1352"/>
      <c r="AF10" s="1352"/>
      <c r="AG10" s="1352"/>
      <c r="AH10" s="1352"/>
      <c r="AI10" s="1352"/>
      <c r="AJ10" s="1352"/>
      <c r="AK10" s="1352"/>
      <c r="AL10" s="1352"/>
      <c r="AM10" s="1352"/>
      <c r="AN10" s="1352"/>
      <c r="AO10" s="844"/>
    </row>
    <row r="11" spans="1:83">
      <c r="A11" s="1764" t="s">
        <v>3779</v>
      </c>
      <c r="B11" s="1806"/>
      <c r="C11" s="1806"/>
      <c r="D11" s="1806"/>
      <c r="E11" s="1806"/>
      <c r="F11" s="1806"/>
      <c r="G11" s="1806"/>
      <c r="H11" s="1806"/>
      <c r="I11" s="1806"/>
      <c r="J11" s="1806"/>
      <c r="K11" s="1806"/>
      <c r="L11" s="1806"/>
      <c r="M11" s="1806"/>
      <c r="N11" s="1806"/>
      <c r="O11" s="1806"/>
      <c r="P11" s="1806"/>
      <c r="Q11" s="1806"/>
      <c r="R11" s="1806"/>
      <c r="S11" s="1806"/>
      <c r="T11" s="1806"/>
      <c r="U11" s="1806"/>
      <c r="V11" s="1806"/>
      <c r="W11" s="1806"/>
      <c r="X11" s="1806"/>
      <c r="Y11" s="1806"/>
      <c r="Z11" s="1806"/>
      <c r="AA11" s="1806"/>
      <c r="AB11" s="1806"/>
      <c r="AC11" s="1806"/>
      <c r="AD11" s="1806"/>
      <c r="AE11" s="1806"/>
      <c r="AF11" s="1806"/>
      <c r="AG11" s="1806"/>
      <c r="AH11" s="1806"/>
      <c r="AI11" s="1806"/>
      <c r="AJ11" s="1806"/>
      <c r="AK11" s="1806"/>
      <c r="AL11" s="1806"/>
      <c r="AM11" s="1806"/>
      <c r="AN11" s="1806"/>
      <c r="AO11" s="1805"/>
    </row>
    <row r="12" spans="1:83" ht="5.0999999999999996" customHeight="1">
      <c r="A12" s="1917"/>
      <c r="B12" s="1918"/>
      <c r="C12" s="1918"/>
      <c r="D12" s="1918"/>
      <c r="E12" s="1918"/>
      <c r="F12" s="1918"/>
      <c r="G12" s="1918"/>
      <c r="H12" s="1918"/>
      <c r="I12" s="1918"/>
      <c r="J12" s="1918"/>
      <c r="K12" s="1918"/>
      <c r="L12" s="1918"/>
      <c r="M12" s="1918"/>
      <c r="N12" s="1918"/>
      <c r="O12" s="1918"/>
      <c r="P12" s="1918"/>
      <c r="Q12" s="1918"/>
      <c r="R12" s="1918"/>
      <c r="S12" s="1918"/>
      <c r="T12" s="1918"/>
      <c r="U12" s="1918"/>
      <c r="V12" s="1918"/>
      <c r="W12" s="1918"/>
      <c r="X12" s="1918"/>
      <c r="Y12" s="1918"/>
      <c r="Z12" s="1918"/>
      <c r="AA12" s="1918"/>
      <c r="AB12" s="1918"/>
      <c r="AC12" s="1918"/>
      <c r="AD12" s="1918"/>
      <c r="AE12" s="1918"/>
      <c r="AF12" s="1918"/>
      <c r="AG12" s="1918"/>
      <c r="AH12" s="1918"/>
      <c r="AI12" s="1918"/>
      <c r="AJ12" s="1918"/>
      <c r="AK12" s="1918"/>
      <c r="AL12" s="1918"/>
      <c r="AM12" s="1918"/>
      <c r="AN12" s="1918"/>
      <c r="AO12" s="1919"/>
    </row>
    <row r="13" spans="1:83" ht="15" customHeight="1">
      <c r="A13" s="1920" t="s">
        <v>327</v>
      </c>
      <c r="B13" s="1921"/>
      <c r="C13" s="1921"/>
      <c r="D13" s="1921"/>
      <c r="E13" s="1921"/>
      <c r="F13" s="1921"/>
      <c r="G13" s="1921"/>
      <c r="H13" s="1921"/>
      <c r="I13" s="1921"/>
      <c r="J13" s="1921"/>
      <c r="K13" s="1921"/>
      <c r="L13" s="1921"/>
      <c r="M13" s="1921"/>
      <c r="N13" s="1844">
        <f>+IF('SP1'!H64&lt;0,-'SP1'!H64,0)</f>
        <v>0</v>
      </c>
      <c r="O13" s="1894"/>
      <c r="P13" s="1894"/>
      <c r="Q13" s="1894"/>
      <c r="R13" s="1894"/>
      <c r="S13" s="1894"/>
      <c r="T13" s="1894"/>
      <c r="U13" s="1894"/>
      <c r="V13" s="1894"/>
      <c r="W13" s="1894"/>
      <c r="X13" s="1894"/>
      <c r="Y13" s="1895"/>
      <c r="Z13" s="1922" t="s">
        <v>202</v>
      </c>
      <c r="AA13" s="1922"/>
      <c r="AB13" s="1922"/>
      <c r="AC13" s="1922"/>
      <c r="AD13" s="1922"/>
      <c r="AE13" s="1922"/>
      <c r="AF13" s="1922"/>
      <c r="AG13" s="1922"/>
      <c r="AH13" s="1922"/>
      <c r="AI13" s="1922"/>
      <c r="AJ13" s="1922"/>
      <c r="AK13" s="1922"/>
      <c r="AL13" s="1922"/>
      <c r="AM13" s="1922"/>
      <c r="AN13" s="1922"/>
      <c r="AO13" s="1923"/>
    </row>
    <row r="14" spans="1:83" ht="12.6" customHeight="1">
      <c r="A14" s="1820" t="s">
        <v>3789</v>
      </c>
      <c r="B14" s="1840"/>
      <c r="C14" s="1840"/>
      <c r="D14" s="1840"/>
      <c r="E14" s="1840"/>
      <c r="F14" s="1840"/>
      <c r="G14" s="1840"/>
      <c r="H14" s="1840"/>
      <c r="I14" s="1840"/>
      <c r="J14" s="1840"/>
      <c r="K14" s="1840"/>
      <c r="L14" s="1840"/>
      <c r="M14" s="1840"/>
      <c r="N14" s="1840"/>
      <c r="O14" s="1840"/>
      <c r="P14" s="1840"/>
      <c r="Q14" s="1840"/>
      <c r="R14" s="1840"/>
      <c r="S14" s="1840"/>
      <c r="T14" s="1840"/>
      <c r="U14" s="1840"/>
      <c r="V14" s="1840"/>
      <c r="W14" s="1840"/>
      <c r="X14" s="1840"/>
      <c r="Y14" s="1840"/>
      <c r="Z14" s="1840"/>
      <c r="AA14" s="1840"/>
      <c r="AB14" s="1840"/>
      <c r="AC14" s="1840"/>
      <c r="AD14" s="1840"/>
      <c r="AE14" s="1840"/>
      <c r="AF14" s="1840"/>
      <c r="AG14" s="1840"/>
      <c r="AH14" s="1840"/>
      <c r="AI14" s="1840"/>
      <c r="AJ14" s="1840"/>
      <c r="AK14" s="1840"/>
      <c r="AL14" s="1840"/>
      <c r="AM14" s="1840"/>
      <c r="AN14" s="1840"/>
      <c r="AO14" s="1930"/>
    </row>
    <row r="15" spans="1:83" s="600" customFormat="1" ht="24.95" customHeight="1">
      <c r="A15" s="1931" t="s">
        <v>3936</v>
      </c>
      <c r="B15" s="826"/>
      <c r="C15" s="826"/>
      <c r="D15" s="827"/>
      <c r="E15" s="827"/>
      <c r="F15" s="827"/>
      <c r="G15" s="827"/>
      <c r="H15" s="827"/>
      <c r="I15" s="827"/>
      <c r="J15" s="827"/>
      <c r="K15" s="827"/>
      <c r="L15" s="827"/>
      <c r="M15" s="827"/>
      <c r="N15" s="1932" t="s">
        <v>3788</v>
      </c>
      <c r="O15" s="886"/>
      <c r="P15" s="887"/>
      <c r="Q15" s="269"/>
      <c r="R15" s="589" t="s">
        <v>3787</v>
      </c>
      <c r="S15" s="269"/>
      <c r="T15" s="589" t="s">
        <v>3786</v>
      </c>
      <c r="U15" s="269"/>
      <c r="V15" s="589" t="s">
        <v>3785</v>
      </c>
      <c r="W15" s="269"/>
      <c r="X15" s="589" t="s">
        <v>3708</v>
      </c>
      <c r="Y15" s="269"/>
      <c r="Z15" s="589" t="s">
        <v>3709</v>
      </c>
      <c r="AA15" s="269"/>
      <c r="AB15" s="589" t="s">
        <v>3784</v>
      </c>
      <c r="AC15" s="269"/>
      <c r="AD15" s="589" t="s">
        <v>3783</v>
      </c>
      <c r="AE15" s="269"/>
      <c r="AF15" s="589" t="s">
        <v>3782</v>
      </c>
      <c r="AG15" s="269"/>
      <c r="AH15" s="589" t="s">
        <v>3781</v>
      </c>
      <c r="AI15" s="269"/>
      <c r="AJ15" s="589" t="s">
        <v>3780</v>
      </c>
      <c r="AK15" s="269"/>
      <c r="AL15" s="1933" t="s">
        <v>239</v>
      </c>
      <c r="AM15" s="844"/>
      <c r="AN15" s="269" t="s">
        <v>258</v>
      </c>
      <c r="AO15" s="575"/>
      <c r="AP15" s="598"/>
      <c r="AQ15" s="599"/>
      <c r="AR15" s="599"/>
      <c r="AS15" s="599"/>
      <c r="AT15" s="599"/>
      <c r="AU15" s="599"/>
      <c r="AV15" s="599"/>
      <c r="AW15" s="599"/>
      <c r="AX15" s="599"/>
      <c r="AY15" s="599"/>
      <c r="AZ15" s="599"/>
      <c r="BA15" s="599"/>
      <c r="BB15" s="599"/>
      <c r="BC15" s="599"/>
      <c r="BD15" s="599"/>
      <c r="BE15" s="599"/>
      <c r="BF15" s="599"/>
      <c r="BG15" s="599"/>
      <c r="BH15" s="599"/>
      <c r="BI15" s="599"/>
      <c r="BJ15" s="599"/>
      <c r="BK15" s="599"/>
      <c r="BL15" s="599"/>
      <c r="BM15" s="599"/>
      <c r="BN15" s="599"/>
      <c r="BO15" s="599"/>
      <c r="BP15" s="599"/>
      <c r="BQ15" s="599"/>
      <c r="BR15" s="599"/>
      <c r="BS15" s="599"/>
      <c r="BT15" s="599"/>
      <c r="BU15" s="599"/>
      <c r="BV15" s="599"/>
      <c r="BW15" s="599"/>
      <c r="BX15" s="599"/>
      <c r="BY15" s="599"/>
      <c r="BZ15" s="599"/>
      <c r="CA15" s="599"/>
      <c r="CB15" s="599"/>
      <c r="CC15" s="599"/>
    </row>
    <row r="16" spans="1:83" ht="5.0999999999999996" customHeight="1">
      <c r="A16" s="1839"/>
      <c r="B16" s="1828"/>
      <c r="C16" s="1828"/>
      <c r="D16" s="1828"/>
      <c r="E16" s="1828"/>
      <c r="F16" s="1828"/>
      <c r="G16" s="1828"/>
      <c r="H16" s="1828"/>
      <c r="I16" s="1828"/>
      <c r="J16" s="1828"/>
      <c r="K16" s="1828"/>
      <c r="L16" s="1828"/>
      <c r="M16" s="1828"/>
      <c r="N16" s="1828"/>
      <c r="O16" s="1828"/>
      <c r="P16" s="1828"/>
      <c r="Q16" s="1828"/>
      <c r="R16" s="1828"/>
      <c r="S16" s="1828"/>
      <c r="T16" s="1828"/>
      <c r="U16" s="1828"/>
      <c r="V16" s="1828"/>
      <c r="W16" s="1828"/>
      <c r="X16" s="1828"/>
      <c r="Y16" s="1828"/>
      <c r="Z16" s="1828"/>
      <c r="AA16" s="1828"/>
      <c r="AB16" s="1828"/>
      <c r="AC16" s="1828"/>
      <c r="AD16" s="1828"/>
      <c r="AE16" s="1828"/>
      <c r="AF16" s="1828"/>
      <c r="AG16" s="1828"/>
      <c r="AH16" s="1828"/>
      <c r="AI16" s="1828"/>
      <c r="AJ16" s="1828"/>
      <c r="AK16" s="1828"/>
      <c r="AL16" s="1828"/>
      <c r="AM16" s="1828"/>
      <c r="AN16" s="1828"/>
      <c r="AO16" s="1934"/>
    </row>
    <row r="17" spans="1:87">
      <c r="A17" s="1864" t="s">
        <v>3790</v>
      </c>
      <c r="B17" s="1818"/>
      <c r="C17" s="1818"/>
      <c r="D17" s="1818"/>
      <c r="E17" s="1818"/>
      <c r="F17" s="1818"/>
      <c r="G17" s="1818"/>
      <c r="H17" s="1818"/>
      <c r="I17" s="1818"/>
      <c r="J17" s="1818"/>
      <c r="K17" s="1818"/>
      <c r="L17" s="1818"/>
      <c r="M17" s="1818"/>
      <c r="N17" s="1818"/>
      <c r="O17" s="1818"/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  <c r="AH17" s="1818"/>
      <c r="AI17" s="1818"/>
      <c r="AJ17" s="1818"/>
      <c r="AK17" s="1818"/>
      <c r="AL17" s="1818"/>
      <c r="AM17" s="1818"/>
      <c r="AN17" s="1818"/>
      <c r="AO17" s="1935"/>
    </row>
    <row r="18" spans="1:87" ht="15" customHeight="1">
      <c r="A18" s="572" t="s">
        <v>234</v>
      </c>
      <c r="B18" s="269"/>
      <c r="C18" s="584" t="s">
        <v>3534</v>
      </c>
      <c r="D18" s="1929"/>
      <c r="E18" s="1929"/>
      <c r="F18" s="1929"/>
      <c r="G18" s="1929"/>
      <c r="H18" s="1929"/>
      <c r="I18" s="1929"/>
      <c r="J18" s="1929"/>
      <c r="K18" s="1929"/>
      <c r="L18" s="1929"/>
      <c r="M18" s="1929"/>
      <c r="N18" s="1929"/>
      <c r="O18" s="1929"/>
      <c r="P18" s="1929"/>
      <c r="Q18" s="1929"/>
      <c r="R18" s="1929"/>
      <c r="S18" s="1929"/>
      <c r="T18" s="1929"/>
      <c r="U18" s="1929"/>
      <c r="V18" s="1929"/>
      <c r="W18" s="1929"/>
      <c r="X18" s="1929"/>
      <c r="Y18" s="1929"/>
      <c r="Z18" s="1929"/>
      <c r="AA18" s="1929"/>
      <c r="AB18" s="1352"/>
      <c r="AC18" s="1352"/>
      <c r="AD18" s="1352"/>
      <c r="AE18" s="1352"/>
      <c r="AF18" s="1352"/>
      <c r="AG18" s="1352"/>
      <c r="AH18" s="1352"/>
      <c r="AI18" s="1352"/>
      <c r="AJ18" s="1352"/>
      <c r="AK18" s="1352"/>
      <c r="AL18" s="1352"/>
      <c r="AM18" s="1352"/>
      <c r="AN18" s="1352"/>
      <c r="AO18" s="844"/>
    </row>
    <row r="19" spans="1:87" s="128" customFormat="1" ht="9.9499999999999993" customHeight="1">
      <c r="A19" s="1820" t="s">
        <v>3774</v>
      </c>
      <c r="B19" s="1352"/>
      <c r="C19" s="1352"/>
      <c r="D19" s="1352"/>
      <c r="E19" s="1352"/>
      <c r="F19" s="1352"/>
      <c r="G19" s="1352"/>
      <c r="H19" s="1769" t="s">
        <v>267</v>
      </c>
      <c r="I19" s="1352"/>
      <c r="J19" s="1352"/>
      <c r="K19" s="1352"/>
      <c r="L19" s="1352"/>
      <c r="M19" s="1769" t="s">
        <v>268</v>
      </c>
      <c r="N19" s="1769"/>
      <c r="O19" s="1769"/>
      <c r="P19" s="1769"/>
      <c r="Q19" s="1769"/>
      <c r="R19" s="1769"/>
      <c r="S19" s="1769"/>
      <c r="T19" s="1769"/>
      <c r="U19" s="1769"/>
      <c r="V19" s="584"/>
      <c r="W19" s="1769" t="s">
        <v>230</v>
      </c>
      <c r="X19" s="1769"/>
      <c r="Y19" s="1769"/>
      <c r="Z19" s="1769"/>
      <c r="AA19" s="584"/>
      <c r="AB19" s="584"/>
      <c r="AC19" s="1769" t="s">
        <v>303</v>
      </c>
      <c r="AD19" s="1840"/>
      <c r="AE19" s="1840"/>
      <c r="AF19" s="1840"/>
      <c r="AG19" s="1840"/>
      <c r="AH19" s="1840"/>
      <c r="AI19" s="584"/>
      <c r="AJ19" s="1769" t="s">
        <v>270</v>
      </c>
      <c r="AK19" s="1769"/>
      <c r="AL19" s="1769"/>
      <c r="AM19" s="1769"/>
      <c r="AN19" s="1840"/>
      <c r="AO19" s="1930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</row>
    <row r="20" spans="1:87" ht="15" customHeight="1">
      <c r="A20" s="1942"/>
      <c r="B20" s="1809"/>
      <c r="C20" s="1809"/>
      <c r="D20" s="1809"/>
      <c r="E20" s="1809"/>
      <c r="F20" s="942"/>
      <c r="G20" s="601"/>
      <c r="H20" s="1943" t="str">
        <f>+IF(ISERR(MID(ZAKL_DATA!B32,1,+FIND("-",ZAKL_DATA!B32)-1))," ",MID(ZAKL_DATA!B32,1,+FIND("-",ZAKL_DATA!B32)-1))</f>
        <v xml:space="preserve"> </v>
      </c>
      <c r="I20" s="1944"/>
      <c r="J20" s="1944"/>
      <c r="K20" s="1945"/>
      <c r="L20" s="583" t="s">
        <v>167</v>
      </c>
      <c r="M20" s="1942">
        <f>IF(ISERR(+MID(ZAKL_DATA!B32,+FIND("-",ZAKL_DATA!B32)+1,20)),ZAKL_DATA!B32,+MID(ZAKL_DATA!B32,+FIND("-",ZAKL_DATA!B32)+1,20))</f>
        <v>0</v>
      </c>
      <c r="N20" s="1946"/>
      <c r="O20" s="1946"/>
      <c r="P20" s="1946"/>
      <c r="Q20" s="1946"/>
      <c r="R20" s="1946"/>
      <c r="S20" s="1946"/>
      <c r="T20" s="1946"/>
      <c r="U20" s="1947"/>
      <c r="V20" s="583" t="s">
        <v>269</v>
      </c>
      <c r="W20" s="1936">
        <f>+ZAKL_DATA!B33</f>
        <v>0</v>
      </c>
      <c r="X20" s="1946"/>
      <c r="Y20" s="1946"/>
      <c r="Z20" s="1947"/>
      <c r="AA20" s="1828"/>
      <c r="AB20" s="1828"/>
      <c r="AC20" s="1942" t="str">
        <f>+N3</f>
        <v/>
      </c>
      <c r="AD20" s="1946"/>
      <c r="AE20" s="1946"/>
      <c r="AF20" s="1946"/>
      <c r="AG20" s="1946"/>
      <c r="AH20" s="1947"/>
      <c r="AI20" s="409"/>
      <c r="AJ20" s="1936"/>
      <c r="AK20" s="1937"/>
      <c r="AL20" s="1937"/>
      <c r="AM20" s="1937"/>
      <c r="AN20" s="1938"/>
      <c r="AO20" s="1939"/>
    </row>
    <row r="21" spans="1:87" ht="9.9499999999999993" customHeight="1">
      <c r="A21" s="1839"/>
      <c r="B21" s="1828"/>
      <c r="C21" s="1828"/>
      <c r="D21" s="1828"/>
      <c r="E21" s="1828"/>
      <c r="F21" s="1828"/>
      <c r="G21" s="1828"/>
      <c r="H21" s="1828"/>
      <c r="I21" s="1828"/>
      <c r="J21" s="1828"/>
      <c r="K21" s="1828"/>
      <c r="L21" s="1828"/>
      <c r="M21" s="1828"/>
      <c r="N21" s="1828"/>
      <c r="O21" s="1828"/>
      <c r="P21" s="1828"/>
      <c r="Q21" s="1828"/>
      <c r="R21" s="1828"/>
      <c r="S21" s="1828"/>
      <c r="T21" s="1828"/>
      <c r="U21" s="1828"/>
      <c r="V21" s="1828"/>
      <c r="W21" s="1828"/>
      <c r="X21" s="1828"/>
      <c r="Y21" s="1828"/>
      <c r="Z21" s="1828"/>
      <c r="AA21" s="1828"/>
      <c r="AB21" s="1828"/>
      <c r="AC21" s="1828"/>
      <c r="AD21" s="1828"/>
      <c r="AE21" s="1828"/>
      <c r="AF21" s="1828"/>
      <c r="AG21" s="1828"/>
      <c r="AH21" s="1828"/>
      <c r="AI21" s="1828"/>
      <c r="AJ21" s="1828"/>
      <c r="AK21" s="1828"/>
      <c r="AL21" s="1828"/>
      <c r="AM21" s="1828"/>
      <c r="AN21" s="1828"/>
      <c r="AO21" s="1934"/>
    </row>
    <row r="22" spans="1:87" ht="15" customHeight="1">
      <c r="A22" s="572" t="s">
        <v>235</v>
      </c>
      <c r="B22" s="269"/>
      <c r="C22" s="1837" t="s">
        <v>3952</v>
      </c>
      <c r="D22" s="827"/>
      <c r="E22" s="827"/>
      <c r="F22" s="827"/>
      <c r="G22" s="827"/>
      <c r="H22" s="827"/>
      <c r="I22" s="827"/>
      <c r="J22" s="827"/>
      <c r="K22" s="827"/>
      <c r="L22" s="827"/>
      <c r="M22" s="827"/>
      <c r="N22" s="827"/>
      <c r="O22" s="827"/>
      <c r="P22" s="827"/>
      <c r="Q22" s="827"/>
      <c r="R22" s="827"/>
      <c r="S22" s="827"/>
      <c r="T22" s="827"/>
      <c r="U22" s="827"/>
      <c r="V22" s="827"/>
      <c r="W22" s="827"/>
      <c r="X22" s="827"/>
      <c r="Y22" s="827"/>
      <c r="Z22" s="827"/>
      <c r="AA22" s="827"/>
      <c r="AB22" s="827"/>
      <c r="AC22" s="827"/>
      <c r="AD22" s="827"/>
      <c r="AE22" s="827"/>
      <c r="AF22" s="827"/>
      <c r="AG22" s="827"/>
      <c r="AH22" s="827"/>
      <c r="AI22" s="827"/>
      <c r="AJ22" s="827"/>
      <c r="AK22" s="827"/>
      <c r="AL22" s="827"/>
      <c r="AM22" s="827"/>
      <c r="AN22" s="827"/>
      <c r="AO22" s="1904"/>
    </row>
    <row r="23" spans="1:87" ht="12" customHeight="1">
      <c r="A23" s="1843" t="s">
        <v>271</v>
      </c>
      <c r="B23" s="1801"/>
      <c r="C23" s="1801"/>
      <c r="D23" s="1801"/>
      <c r="E23" s="1352"/>
      <c r="F23" s="1769" t="s">
        <v>42</v>
      </c>
      <c r="G23" s="1352"/>
      <c r="H23" s="1352"/>
      <c r="I23" s="1352"/>
      <c r="J23" s="1352"/>
      <c r="K23" s="1769" t="s">
        <v>272</v>
      </c>
      <c r="L23" s="1769"/>
      <c r="M23" s="1769"/>
      <c r="N23" s="1769"/>
      <c r="O23" s="1769"/>
      <c r="P23" s="1769"/>
      <c r="Q23" s="1769"/>
      <c r="R23" s="1769"/>
      <c r="S23" s="1769"/>
      <c r="T23" s="1352"/>
      <c r="U23" s="1352"/>
      <c r="V23" s="1352"/>
      <c r="W23" s="1352"/>
      <c r="X23" s="1352"/>
      <c r="Y23" s="1352"/>
      <c r="Z23" s="1352"/>
      <c r="AA23" s="1352"/>
      <c r="AB23" s="1352"/>
      <c r="AC23" s="1769" t="s">
        <v>43</v>
      </c>
      <c r="AD23" s="1352"/>
      <c r="AE23" s="1352"/>
      <c r="AF23" s="1352"/>
      <c r="AG23" s="1352"/>
      <c r="AH23" s="1940" t="s">
        <v>273</v>
      </c>
      <c r="AI23" s="1940"/>
      <c r="AJ23" s="1940"/>
      <c r="AK23" s="1940"/>
      <c r="AL23" s="1940"/>
      <c r="AM23" s="1940"/>
      <c r="AN23" s="1940"/>
      <c r="AO23" s="1941"/>
    </row>
    <row r="24" spans="1:87" ht="15" customHeight="1">
      <c r="A24" s="1948"/>
      <c r="B24" s="1949"/>
      <c r="C24" s="1949"/>
      <c r="D24" s="1950"/>
      <c r="E24" s="1352"/>
      <c r="F24" s="1943"/>
      <c r="G24" s="1944"/>
      <c r="H24" s="1944"/>
      <c r="I24" s="1945"/>
      <c r="J24" s="583"/>
      <c r="K24" s="1785"/>
      <c r="L24" s="1951"/>
      <c r="M24" s="1951"/>
      <c r="N24" s="1951"/>
      <c r="O24" s="1951"/>
      <c r="P24" s="1951"/>
      <c r="Q24" s="1951"/>
      <c r="R24" s="1951"/>
      <c r="S24" s="1951"/>
      <c r="T24" s="1809"/>
      <c r="U24" s="1809"/>
      <c r="V24" s="1809"/>
      <c r="W24" s="1809"/>
      <c r="X24" s="1809"/>
      <c r="Y24" s="1809"/>
      <c r="Z24" s="1809"/>
      <c r="AA24" s="942"/>
      <c r="AB24" s="1352"/>
      <c r="AC24" s="1943"/>
      <c r="AD24" s="1944"/>
      <c r="AE24" s="1944"/>
      <c r="AF24" s="1945"/>
      <c r="AG24" s="583"/>
      <c r="AH24" s="941"/>
      <c r="AI24" s="1771"/>
      <c r="AJ24" s="1771"/>
      <c r="AK24" s="1771"/>
      <c r="AL24" s="1771"/>
      <c r="AM24" s="1771"/>
      <c r="AN24" s="1771"/>
      <c r="AO24" s="1030"/>
    </row>
    <row r="25" spans="1:87" ht="7.5" customHeight="1">
      <c r="A25" s="1839"/>
      <c r="B25" s="1828"/>
      <c r="C25" s="1828"/>
      <c r="D25" s="1828"/>
      <c r="E25" s="1828"/>
      <c r="F25" s="1828"/>
      <c r="G25" s="1828"/>
      <c r="H25" s="1828"/>
      <c r="I25" s="1828"/>
      <c r="J25" s="1828"/>
      <c r="K25" s="1828"/>
      <c r="L25" s="1828"/>
      <c r="M25" s="1828"/>
      <c r="N25" s="1828"/>
      <c r="O25" s="1828"/>
      <c r="P25" s="1828"/>
      <c r="Q25" s="1828"/>
      <c r="R25" s="1828"/>
      <c r="S25" s="1828"/>
      <c r="T25" s="1828"/>
      <c r="U25" s="1828"/>
      <c r="V25" s="1828"/>
      <c r="W25" s="1828"/>
      <c r="X25" s="1828"/>
      <c r="Y25" s="1828"/>
      <c r="Z25" s="1828"/>
      <c r="AA25" s="1828"/>
      <c r="AB25" s="1828"/>
      <c r="AC25" s="1828"/>
      <c r="AD25" s="1828"/>
      <c r="AE25" s="1828"/>
      <c r="AF25" s="1828"/>
      <c r="AG25" s="1828"/>
      <c r="AH25" s="1828"/>
      <c r="AI25" s="1828"/>
      <c r="AJ25" s="1828"/>
      <c r="AK25" s="1828"/>
      <c r="AL25" s="1828"/>
      <c r="AM25" s="1828"/>
      <c r="AN25" s="1828"/>
      <c r="AO25" s="1934"/>
    </row>
    <row r="26" spans="1:87" ht="15" customHeight="1">
      <c r="A26" s="1764" t="s">
        <v>3822</v>
      </c>
      <c r="B26" s="1806"/>
      <c r="C26" s="1806"/>
      <c r="D26" s="1806"/>
      <c r="E26" s="1806"/>
      <c r="F26" s="1806"/>
      <c r="G26" s="1806"/>
      <c r="H26" s="1806"/>
      <c r="I26" s="1806"/>
      <c r="J26" s="1806"/>
      <c r="K26" s="1806"/>
      <c r="L26" s="1806"/>
      <c r="M26" s="1806"/>
      <c r="N26" s="1806"/>
      <c r="O26" s="1806"/>
      <c r="P26" s="1806"/>
      <c r="Q26" s="1806"/>
      <c r="R26" s="1806"/>
      <c r="S26" s="1806"/>
      <c r="T26" s="1806"/>
      <c r="U26" s="1806"/>
      <c r="V26" s="1806"/>
      <c r="W26" s="1806"/>
      <c r="X26" s="1806"/>
      <c r="Y26" s="1806"/>
      <c r="Z26" s="1806"/>
      <c r="AA26" s="1806"/>
      <c r="AB26" s="1806"/>
      <c r="AC26" s="1806"/>
      <c r="AD26" s="1806"/>
      <c r="AE26" s="1806"/>
      <c r="AF26" s="1806"/>
      <c r="AG26" s="1771"/>
      <c r="AH26" s="1771"/>
      <c r="AI26" s="1771"/>
      <c r="AJ26" s="1771"/>
      <c r="AK26" s="1771"/>
      <c r="AL26" s="1771"/>
      <c r="AM26" s="1771"/>
      <c r="AN26" s="1771"/>
      <c r="AO26" s="1030"/>
    </row>
    <row r="27" spans="1:87" ht="8.1" customHeight="1">
      <c r="A27" s="1813"/>
      <c r="B27" s="1952"/>
      <c r="C27" s="1952"/>
      <c r="D27" s="1952"/>
      <c r="E27" s="1952"/>
      <c r="F27" s="1952"/>
      <c r="G27" s="1952"/>
      <c r="H27" s="1952"/>
      <c r="I27" s="1952"/>
      <c r="J27" s="1952"/>
      <c r="K27" s="1952"/>
      <c r="L27" s="1952"/>
      <c r="M27" s="1952"/>
      <c r="N27" s="1952"/>
      <c r="O27" s="1952"/>
      <c r="P27" s="1952"/>
      <c r="Q27" s="1952"/>
      <c r="R27" s="1952"/>
      <c r="S27" s="1952"/>
      <c r="T27" s="1952"/>
      <c r="U27" s="1952"/>
      <c r="V27" s="1952"/>
      <c r="W27" s="1952"/>
      <c r="X27" s="1952"/>
      <c r="Y27" s="1952"/>
      <c r="Z27" s="1952"/>
      <c r="AA27" s="1952"/>
      <c r="AB27" s="1952"/>
      <c r="AC27" s="1952"/>
      <c r="AD27" s="1952"/>
      <c r="AE27" s="1952"/>
      <c r="AF27" s="1952"/>
      <c r="AG27" s="1952"/>
      <c r="AH27" s="1952"/>
      <c r="AI27" s="1952"/>
      <c r="AJ27" s="1952"/>
      <c r="AK27" s="1952"/>
      <c r="AL27" s="1952"/>
      <c r="AM27" s="1952"/>
      <c r="AN27" s="1952"/>
      <c r="AO27" s="1953"/>
      <c r="CD27" s="27"/>
      <c r="CE27" s="27"/>
      <c r="CF27" s="27"/>
      <c r="CG27" s="27"/>
      <c r="CH27" s="27"/>
      <c r="CI27" s="27"/>
    </row>
    <row r="28" spans="1:87" ht="21.95" customHeight="1">
      <c r="A28" s="1820" t="s">
        <v>3940</v>
      </c>
      <c r="B28" s="1352"/>
      <c r="C28" s="1352"/>
      <c r="D28" s="1352"/>
      <c r="E28" s="1352"/>
      <c r="F28" s="1352"/>
      <c r="G28" s="1352"/>
      <c r="H28" s="1352"/>
      <c r="I28" s="1954" t="s">
        <v>236</v>
      </c>
      <c r="J28" s="1955"/>
      <c r="K28" s="269" t="s">
        <v>258</v>
      </c>
      <c r="L28" s="1954" t="s">
        <v>141</v>
      </c>
      <c r="M28" s="1955"/>
      <c r="N28" s="269"/>
      <c r="O28" s="409"/>
      <c r="P28" s="1769" t="s">
        <v>3941</v>
      </c>
      <c r="Q28" s="1352"/>
      <c r="R28" s="1352"/>
      <c r="S28" s="1352"/>
      <c r="T28" s="1352"/>
      <c r="U28" s="1352"/>
      <c r="V28" s="1352"/>
      <c r="W28" s="1352"/>
      <c r="X28" s="1352"/>
      <c r="Y28" s="1352"/>
      <c r="Z28" s="1352"/>
      <c r="AA28" s="1352"/>
      <c r="AB28" s="1352"/>
      <c r="AC28" s="1352"/>
      <c r="AD28" s="1352"/>
      <c r="AE28" s="1352"/>
      <c r="AF28" s="1352"/>
      <c r="AG28" s="1352"/>
      <c r="AH28" s="1352"/>
      <c r="AI28" s="1954" t="s">
        <v>236</v>
      </c>
      <c r="AJ28" s="1955"/>
      <c r="AK28" s="269"/>
      <c r="AL28" s="1954" t="s">
        <v>141</v>
      </c>
      <c r="AM28" s="1955"/>
      <c r="AN28" s="269" t="s">
        <v>258</v>
      </c>
      <c r="AO28" s="574"/>
      <c r="CD28" s="27"/>
      <c r="CE28" s="27"/>
      <c r="CF28" s="27"/>
      <c r="CG28" s="27"/>
      <c r="CH28" s="27"/>
      <c r="CI28" s="27"/>
    </row>
    <row r="29" spans="1:87" ht="8.1" customHeight="1">
      <c r="A29" s="1839"/>
      <c r="B29" s="1828"/>
      <c r="C29" s="1828"/>
      <c r="D29" s="1828"/>
      <c r="E29" s="1828"/>
      <c r="F29" s="1828"/>
      <c r="G29" s="1828"/>
      <c r="H29" s="1828"/>
      <c r="I29" s="1828"/>
      <c r="J29" s="1828"/>
      <c r="K29" s="1828"/>
      <c r="L29" s="1828"/>
      <c r="M29" s="1828"/>
      <c r="N29" s="1828"/>
      <c r="O29" s="1828"/>
      <c r="P29" s="1828"/>
      <c r="Q29" s="1828"/>
      <c r="R29" s="1828"/>
      <c r="S29" s="1828"/>
      <c r="T29" s="1828"/>
      <c r="U29" s="1828"/>
      <c r="V29" s="1828"/>
      <c r="W29" s="1828"/>
      <c r="X29" s="1828"/>
      <c r="Y29" s="1828"/>
      <c r="Z29" s="1828"/>
      <c r="AA29" s="1828"/>
      <c r="AB29" s="1828"/>
      <c r="AC29" s="1828"/>
      <c r="AD29" s="1828"/>
      <c r="AE29" s="1828"/>
      <c r="AF29" s="1828"/>
      <c r="AG29" s="1828"/>
      <c r="AH29" s="1828"/>
      <c r="AI29" s="1828"/>
      <c r="AJ29" s="1828"/>
      <c r="AK29" s="1828"/>
      <c r="AL29" s="1828"/>
      <c r="AM29" s="1828"/>
      <c r="AN29" s="1828"/>
      <c r="AO29" s="1934"/>
      <c r="CD29" s="27"/>
      <c r="CE29" s="27"/>
      <c r="CF29" s="27"/>
      <c r="CG29" s="27"/>
      <c r="CH29" s="27"/>
      <c r="CI29" s="27"/>
    </row>
    <row r="30" spans="1:87" ht="21.95" customHeight="1">
      <c r="A30" s="1837" t="s">
        <v>3942</v>
      </c>
      <c r="B30" s="827"/>
      <c r="C30" s="827"/>
      <c r="D30" s="827"/>
      <c r="E30" s="827"/>
      <c r="F30" s="827"/>
      <c r="G30" s="827"/>
      <c r="H30" s="827"/>
      <c r="I30" s="1954" t="s">
        <v>236</v>
      </c>
      <c r="J30" s="1955"/>
      <c r="K30" s="269"/>
      <c r="L30" s="1954" t="s">
        <v>141</v>
      </c>
      <c r="M30" s="1955"/>
      <c r="N30" s="269" t="s">
        <v>258</v>
      </c>
      <c r="O30" s="409"/>
      <c r="P30" s="1838" t="s">
        <v>3943</v>
      </c>
      <c r="Q30" s="827"/>
      <c r="R30" s="827"/>
      <c r="S30" s="827"/>
      <c r="T30" s="827"/>
      <c r="U30" s="827"/>
      <c r="V30" s="827"/>
      <c r="W30" s="827"/>
      <c r="X30" s="827"/>
      <c r="Y30" s="827"/>
      <c r="Z30" s="827"/>
      <c r="AA30" s="827"/>
      <c r="AB30" s="827"/>
      <c r="AC30" s="827"/>
      <c r="AD30" s="827"/>
      <c r="AE30" s="827"/>
      <c r="AF30" s="827"/>
      <c r="AG30" s="1904"/>
      <c r="AH30" s="1961"/>
      <c r="AI30" s="1944"/>
      <c r="AJ30" s="1944"/>
      <c r="AK30" s="1944"/>
      <c r="AL30" s="1944"/>
      <c r="AM30" s="1944"/>
      <c r="AN30" s="1945"/>
      <c r="AO30" s="574"/>
      <c r="CD30" s="27"/>
      <c r="CE30" s="27"/>
      <c r="CF30" s="27"/>
      <c r="CG30" s="27"/>
      <c r="CH30" s="27"/>
      <c r="CI30" s="27"/>
    </row>
    <row r="31" spans="1:87" ht="8.1" customHeight="1">
      <c r="A31" s="1839"/>
      <c r="B31" s="1828"/>
      <c r="C31" s="1828"/>
      <c r="D31" s="1828"/>
      <c r="E31" s="1828"/>
      <c r="F31" s="1828"/>
      <c r="G31" s="1828"/>
      <c r="H31" s="1828"/>
      <c r="I31" s="1828"/>
      <c r="J31" s="1828"/>
      <c r="K31" s="1828"/>
      <c r="L31" s="1828"/>
      <c r="M31" s="1828"/>
      <c r="N31" s="1828"/>
      <c r="O31" s="1828"/>
      <c r="P31" s="1828"/>
      <c r="Q31" s="1828"/>
      <c r="R31" s="1828"/>
      <c r="S31" s="1828"/>
      <c r="T31" s="1828"/>
      <c r="U31" s="1828"/>
      <c r="V31" s="1828"/>
      <c r="W31" s="1828"/>
      <c r="X31" s="1828"/>
      <c r="Y31" s="1828"/>
      <c r="Z31" s="1828"/>
      <c r="AA31" s="1828"/>
      <c r="AB31" s="1828"/>
      <c r="AC31" s="1828"/>
      <c r="AD31" s="1828"/>
      <c r="AE31" s="1828"/>
      <c r="AF31" s="1828"/>
      <c r="AG31" s="1828"/>
      <c r="AH31" s="1828"/>
      <c r="AI31" s="1828"/>
      <c r="AJ31" s="1828"/>
      <c r="AK31" s="1828"/>
      <c r="AL31" s="1828"/>
      <c r="AM31" s="1828"/>
      <c r="AN31" s="1828"/>
      <c r="AO31" s="1934"/>
      <c r="CD31" s="27"/>
      <c r="CE31" s="27"/>
      <c r="CF31" s="27"/>
      <c r="CG31" s="27"/>
      <c r="CH31" s="27"/>
      <c r="CI31" s="27"/>
    </row>
    <row r="32" spans="1:87" ht="21.95" customHeight="1">
      <c r="A32" s="1820" t="s">
        <v>3944</v>
      </c>
      <c r="B32" s="1352"/>
      <c r="C32" s="1352"/>
      <c r="D32" s="1352"/>
      <c r="E32" s="1352"/>
      <c r="F32" s="1352"/>
      <c r="G32" s="1352"/>
      <c r="H32" s="1352"/>
      <c r="I32" s="1954" t="s">
        <v>236</v>
      </c>
      <c r="J32" s="1955"/>
      <c r="K32" s="269"/>
      <c r="L32" s="1954" t="s">
        <v>141</v>
      </c>
      <c r="M32" s="1955"/>
      <c r="N32" s="269" t="s">
        <v>258</v>
      </c>
      <c r="O32" s="409"/>
      <c r="P32" s="1967"/>
      <c r="Q32" s="1229"/>
      <c r="R32" s="1229"/>
      <c r="S32" s="1229"/>
      <c r="T32" s="1229"/>
      <c r="U32" s="1229"/>
      <c r="V32" s="1229"/>
      <c r="W32" s="1229"/>
      <c r="X32" s="1229"/>
      <c r="Y32" s="1229"/>
      <c r="Z32" s="1229"/>
      <c r="AA32" s="1229"/>
      <c r="AB32" s="1229"/>
      <c r="AC32" s="1229"/>
      <c r="AD32" s="1229"/>
      <c r="AE32" s="1229"/>
      <c r="AF32" s="1229"/>
      <c r="AG32" s="1229"/>
      <c r="AH32" s="1229"/>
      <c r="AI32" s="1229"/>
      <c r="AJ32" s="1229"/>
      <c r="AK32" s="1229"/>
      <c r="AL32" s="1229"/>
      <c r="AM32" s="1229"/>
      <c r="AN32" s="1229"/>
      <c r="AO32" s="1968"/>
      <c r="CD32" s="27"/>
      <c r="CE32" s="27"/>
      <c r="CF32" s="27"/>
      <c r="CG32" s="27"/>
      <c r="CH32" s="27"/>
      <c r="CI32" s="27"/>
    </row>
    <row r="33" spans="1:87" ht="8.1" customHeight="1">
      <c r="A33" s="1839"/>
      <c r="B33" s="1828"/>
      <c r="C33" s="1828"/>
      <c r="D33" s="1828"/>
      <c r="E33" s="1828"/>
      <c r="F33" s="1828"/>
      <c r="G33" s="1828"/>
      <c r="H33" s="1828"/>
      <c r="I33" s="1828"/>
      <c r="J33" s="1828"/>
      <c r="K33" s="1828"/>
      <c r="L33" s="1828"/>
      <c r="M33" s="1828"/>
      <c r="N33" s="1828"/>
      <c r="O33" s="1828"/>
      <c r="P33" s="1828"/>
      <c r="Q33" s="1828"/>
      <c r="R33" s="1828"/>
      <c r="S33" s="1828"/>
      <c r="T33" s="1828"/>
      <c r="U33" s="1828"/>
      <c r="V33" s="1828"/>
      <c r="W33" s="1828"/>
      <c r="X33" s="1828"/>
      <c r="Y33" s="1828"/>
      <c r="Z33" s="1828"/>
      <c r="AA33" s="1828"/>
      <c r="AB33" s="1828"/>
      <c r="AC33" s="1828"/>
      <c r="AD33" s="1828"/>
      <c r="AE33" s="1828"/>
      <c r="AF33" s="1828"/>
      <c r="AG33" s="1828"/>
      <c r="AH33" s="1828"/>
      <c r="AI33" s="1828"/>
      <c r="AJ33" s="1828"/>
      <c r="AK33" s="1828"/>
      <c r="AL33" s="1828"/>
      <c r="AM33" s="1828"/>
      <c r="AN33" s="1828"/>
      <c r="AO33" s="1934"/>
      <c r="CD33" s="27"/>
      <c r="CE33" s="27"/>
      <c r="CF33" s="27"/>
      <c r="CG33" s="27"/>
      <c r="CH33" s="27"/>
      <c r="CI33" s="27"/>
    </row>
    <row r="34" spans="1:87" ht="15" customHeight="1">
      <c r="A34" s="1764" t="s">
        <v>3823</v>
      </c>
      <c r="B34" s="1806"/>
      <c r="C34" s="1806"/>
      <c r="D34" s="1806"/>
      <c r="E34" s="1806"/>
      <c r="F34" s="1806"/>
      <c r="G34" s="1806"/>
      <c r="H34" s="1806"/>
      <c r="I34" s="1806"/>
      <c r="J34" s="1806"/>
      <c r="K34" s="1806"/>
      <c r="L34" s="1806"/>
      <c r="M34" s="1806"/>
      <c r="N34" s="1806"/>
      <c r="O34" s="1806"/>
      <c r="P34" s="1806"/>
      <c r="Q34" s="1806"/>
      <c r="R34" s="1806"/>
      <c r="S34" s="1806"/>
      <c r="T34" s="1806"/>
      <c r="U34" s="1806"/>
      <c r="V34" s="1806"/>
      <c r="W34" s="1806"/>
      <c r="X34" s="1806"/>
      <c r="Y34" s="1806"/>
      <c r="Z34" s="1806"/>
      <c r="AA34" s="1806"/>
      <c r="AB34" s="1806"/>
      <c r="AC34" s="1806"/>
      <c r="AD34" s="1806"/>
      <c r="AE34" s="1806"/>
      <c r="AF34" s="1806"/>
      <c r="AG34" s="1806"/>
      <c r="AH34" s="1806"/>
      <c r="AI34" s="1806"/>
      <c r="AJ34" s="1806"/>
      <c r="AK34" s="1806"/>
      <c r="AL34" s="1806"/>
      <c r="AM34" s="1806"/>
      <c r="AN34" s="1806"/>
      <c r="AO34" s="1805"/>
    </row>
    <row r="35" spans="1:87" ht="12" customHeight="1">
      <c r="A35" s="1956" t="s">
        <v>249</v>
      </c>
      <c r="B35" s="1957"/>
      <c r="C35" s="1957"/>
      <c r="D35" s="1957"/>
      <c r="E35" s="1957"/>
      <c r="F35" s="1957"/>
      <c r="G35" s="1957"/>
      <c r="H35" s="1957"/>
      <c r="I35" s="1957"/>
      <c r="J35" s="1957"/>
      <c r="K35" s="1957"/>
      <c r="L35" s="1958" t="s">
        <v>328</v>
      </c>
      <c r="M35" s="1959"/>
      <c r="N35" s="1959"/>
      <c r="O35" s="1959"/>
      <c r="P35" s="1959"/>
      <c r="Q35" s="1959"/>
      <c r="R35" s="1959"/>
      <c r="S35" s="1959"/>
      <c r="T35" s="1959"/>
      <c r="U35" s="1959"/>
      <c r="V35" s="1959"/>
      <c r="W35" s="1959"/>
      <c r="X35" s="1959"/>
      <c r="Y35" s="1959"/>
      <c r="Z35" s="1959"/>
      <c r="AA35" s="1959"/>
      <c r="AB35" s="1959"/>
      <c r="AC35" s="1959"/>
      <c r="AD35" s="1959"/>
      <c r="AE35" s="1959"/>
      <c r="AF35" s="1959"/>
      <c r="AG35" s="1959"/>
      <c r="AH35" s="1959"/>
      <c r="AI35" s="1959"/>
      <c r="AJ35" s="1959"/>
      <c r="AK35" s="1959"/>
      <c r="AL35" s="1959"/>
      <c r="AM35" s="1959"/>
      <c r="AN35" s="1959"/>
      <c r="AO35" s="1960"/>
    </row>
    <row r="36" spans="1:87" ht="15" customHeight="1">
      <c r="A36" s="1962"/>
      <c r="B36" s="1944"/>
      <c r="C36" s="1944"/>
      <c r="D36" s="1944"/>
      <c r="E36" s="1945"/>
      <c r="F36" s="572"/>
      <c r="G36" s="1352"/>
      <c r="H36" s="1352"/>
      <c r="I36" s="1352"/>
      <c r="J36" s="1352"/>
      <c r="K36" s="1352"/>
      <c r="L36" s="1963"/>
      <c r="M36" s="1809"/>
      <c r="N36" s="1809"/>
      <c r="O36" s="1809"/>
      <c r="P36" s="1809"/>
      <c r="Q36" s="1809"/>
      <c r="R36" s="1809"/>
      <c r="S36" s="1809"/>
      <c r="T36" s="1809"/>
      <c r="U36" s="1809"/>
      <c r="V36" s="1809"/>
      <c r="W36" s="1809"/>
      <c r="X36" s="1809"/>
      <c r="Y36" s="1809"/>
      <c r="Z36" s="1809"/>
      <c r="AA36" s="1809"/>
      <c r="AB36" s="1809"/>
      <c r="AC36" s="1809"/>
      <c r="AD36" s="1809"/>
      <c r="AE36" s="1809"/>
      <c r="AF36" s="1809"/>
      <c r="AG36" s="1809"/>
      <c r="AH36" s="1809"/>
      <c r="AI36" s="1809"/>
      <c r="AJ36" s="1809"/>
      <c r="AK36" s="1809"/>
      <c r="AL36" s="1809"/>
      <c r="AM36" s="1809"/>
      <c r="AN36" s="942"/>
      <c r="AO36" s="571"/>
    </row>
    <row r="37" spans="1:87" ht="5.0999999999999996" customHeight="1">
      <c r="A37" s="1839"/>
      <c r="B37" s="1828"/>
      <c r="C37" s="1828"/>
      <c r="D37" s="1828"/>
      <c r="E37" s="1828"/>
      <c r="F37" s="1828"/>
      <c r="G37" s="1828"/>
      <c r="H37" s="1828"/>
      <c r="I37" s="1828"/>
      <c r="J37" s="1828"/>
      <c r="K37" s="1828"/>
      <c r="L37" s="1828"/>
      <c r="M37" s="1828"/>
      <c r="N37" s="1828"/>
      <c r="O37" s="1828"/>
      <c r="P37" s="1828"/>
      <c r="Q37" s="1828"/>
      <c r="R37" s="1828"/>
      <c r="S37" s="1828"/>
      <c r="T37" s="1828"/>
      <c r="U37" s="1828"/>
      <c r="V37" s="1828"/>
      <c r="W37" s="1828"/>
      <c r="X37" s="1828"/>
      <c r="Y37" s="1828"/>
      <c r="Z37" s="1828"/>
      <c r="AA37" s="1828"/>
      <c r="AB37" s="1828"/>
      <c r="AC37" s="1828"/>
      <c r="AD37" s="1828"/>
      <c r="AE37" s="1828"/>
      <c r="AF37" s="1828"/>
      <c r="AG37" s="1828"/>
      <c r="AH37" s="1828"/>
      <c r="AI37" s="1828"/>
      <c r="AJ37" s="1828"/>
      <c r="AK37" s="1828"/>
      <c r="AL37" s="1828"/>
      <c r="AM37" s="1828"/>
      <c r="AN37" s="1828"/>
      <c r="AO37" s="1934"/>
    </row>
    <row r="38" spans="1:87">
      <c r="A38" s="1764" t="s">
        <v>3824</v>
      </c>
      <c r="B38" s="1806"/>
      <c r="C38" s="1806"/>
      <c r="D38" s="1806"/>
      <c r="E38" s="1806"/>
      <c r="F38" s="1806"/>
      <c r="G38" s="1806"/>
      <c r="H38" s="1806"/>
      <c r="I38" s="1806"/>
      <c r="J38" s="1806"/>
      <c r="K38" s="1806"/>
      <c r="L38" s="1806"/>
      <c r="M38" s="1806"/>
      <c r="N38" s="1806"/>
      <c r="O38" s="1806"/>
      <c r="P38" s="1806"/>
      <c r="Q38" s="1806"/>
      <c r="R38" s="1806"/>
      <c r="S38" s="1806"/>
      <c r="T38" s="1806"/>
      <c r="U38" s="1806"/>
      <c r="V38" s="1806"/>
      <c r="W38" s="1806"/>
      <c r="X38" s="1806"/>
      <c r="Y38" s="1806"/>
      <c r="Z38" s="1806"/>
      <c r="AA38" s="1806"/>
      <c r="AB38" s="1806"/>
      <c r="AC38" s="1806"/>
      <c r="AD38" s="1806"/>
      <c r="AE38" s="1806"/>
      <c r="AF38" s="1806"/>
      <c r="AG38" s="1806"/>
      <c r="AH38" s="1806"/>
      <c r="AI38" s="1771"/>
      <c r="AJ38" s="1771"/>
      <c r="AK38" s="1771"/>
      <c r="AL38" s="1771"/>
      <c r="AM38" s="1771"/>
      <c r="AN38" s="1771"/>
      <c r="AO38" s="1030"/>
    </row>
    <row r="39" spans="1:87" ht="5.0999999999999996" customHeight="1">
      <c r="A39" s="1839"/>
      <c r="B39" s="1828"/>
      <c r="C39" s="1828"/>
      <c r="D39" s="1828"/>
      <c r="E39" s="1828"/>
      <c r="F39" s="1828"/>
      <c r="G39" s="1828"/>
      <c r="H39" s="1828"/>
      <c r="I39" s="1828"/>
      <c r="J39" s="1828"/>
      <c r="K39" s="1828"/>
      <c r="L39" s="1828"/>
      <c r="M39" s="1828"/>
      <c r="N39" s="1828"/>
      <c r="O39" s="1828"/>
      <c r="P39" s="1828"/>
      <c r="Q39" s="1828"/>
      <c r="R39" s="1828"/>
      <c r="S39" s="1828"/>
      <c r="T39" s="1828"/>
      <c r="U39" s="1828"/>
      <c r="V39" s="1828"/>
      <c r="W39" s="1828"/>
      <c r="X39" s="1828"/>
      <c r="Y39" s="1828"/>
      <c r="Z39" s="1828"/>
      <c r="AA39" s="1828"/>
      <c r="AB39" s="1828"/>
      <c r="AC39" s="1828"/>
      <c r="AD39" s="1828"/>
      <c r="AE39" s="1828"/>
      <c r="AF39" s="1828"/>
      <c r="AG39" s="1828"/>
      <c r="AH39" s="1828"/>
      <c r="AI39" s="1762"/>
      <c r="AJ39" s="1762"/>
      <c r="AK39" s="1762"/>
      <c r="AL39" s="1762"/>
      <c r="AM39" s="1762"/>
      <c r="AN39" s="1762"/>
      <c r="AO39" s="1974"/>
    </row>
    <row r="40" spans="1:87" ht="12" customHeight="1">
      <c r="A40" s="1843" t="s">
        <v>98</v>
      </c>
      <c r="B40" s="1800"/>
      <c r="C40" s="1800"/>
      <c r="D40" s="1800"/>
      <c r="E40" s="1801"/>
      <c r="F40" s="1801"/>
      <c r="G40" s="1801"/>
      <c r="H40" s="1801"/>
      <c r="I40" s="1801"/>
      <c r="J40" s="1801"/>
      <c r="K40" s="1801"/>
      <c r="L40" s="1619"/>
      <c r="M40" s="1769" t="s">
        <v>97</v>
      </c>
      <c r="N40" s="1769"/>
      <c r="O40" s="1769"/>
      <c r="P40" s="1769"/>
      <c r="Q40" s="1769"/>
      <c r="R40" s="1769"/>
      <c r="S40" s="1840"/>
      <c r="T40" s="1840"/>
      <c r="U40" s="1840"/>
      <c r="V40" s="409"/>
      <c r="W40" s="1769" t="s">
        <v>116</v>
      </c>
      <c r="X40" s="1769"/>
      <c r="Y40" s="1769"/>
      <c r="Z40" s="1769"/>
      <c r="AA40" s="409"/>
      <c r="AB40" s="1769" t="s">
        <v>148</v>
      </c>
      <c r="AC40" s="1769"/>
      <c r="AD40" s="1769"/>
      <c r="AE40" s="1769"/>
      <c r="AF40" s="1840"/>
      <c r="AG40" s="1840"/>
      <c r="AH40" s="409"/>
      <c r="AI40" s="1975" t="s">
        <v>275</v>
      </c>
      <c r="AJ40" s="1975"/>
      <c r="AK40" s="1975"/>
      <c r="AL40" s="1975"/>
      <c r="AM40" s="1975"/>
      <c r="AN40" s="1975"/>
      <c r="AO40" s="1976"/>
    </row>
    <row r="41" spans="1:87" ht="18" customHeight="1">
      <c r="A41" s="1785" t="str">
        <f>+CONCATENATE('1Př2'!D44)</f>
        <v/>
      </c>
      <c r="B41" s="1977"/>
      <c r="C41" s="1977"/>
      <c r="D41" s="1977"/>
      <c r="E41" s="1977"/>
      <c r="F41" s="1977"/>
      <c r="G41" s="1977"/>
      <c r="H41" s="1977"/>
      <c r="I41" s="1977"/>
      <c r="J41" s="1977"/>
      <c r="K41" s="1978"/>
      <c r="L41" s="1828"/>
      <c r="M41" s="1964" t="str">
        <f>+CONCATENATE('1Př2'!B44)</f>
        <v/>
      </c>
      <c r="N41" s="1965"/>
      <c r="O41" s="1965"/>
      <c r="P41" s="1965"/>
      <c r="Q41" s="1965"/>
      <c r="R41" s="1965"/>
      <c r="S41" s="1965"/>
      <c r="T41" s="1965"/>
      <c r="U41" s="1966"/>
      <c r="V41" s="409"/>
      <c r="W41" s="1942"/>
      <c r="X41" s="1946"/>
      <c r="Y41" s="1946"/>
      <c r="Z41" s="1947"/>
      <c r="AA41" s="409"/>
      <c r="AB41" s="1962" t="str">
        <f>+MID('1Př2'!F44,1,10)</f>
        <v/>
      </c>
      <c r="AC41" s="1946"/>
      <c r="AD41" s="1946"/>
      <c r="AE41" s="1946"/>
      <c r="AF41" s="1979"/>
      <c r="AG41" s="1980"/>
      <c r="AH41" s="409"/>
      <c r="AI41" s="1942"/>
      <c r="AJ41" s="1946"/>
      <c r="AK41" s="1946"/>
      <c r="AL41" s="1946"/>
      <c r="AM41" s="1979"/>
      <c r="AN41" s="1979"/>
      <c r="AO41" s="1980"/>
    </row>
    <row r="42" spans="1:87" s="706" customFormat="1" ht="12" customHeight="1">
      <c r="A42" s="1843" t="s">
        <v>271</v>
      </c>
      <c r="B42" s="1800"/>
      <c r="C42" s="1800"/>
      <c r="D42" s="1800"/>
      <c r="E42" s="1801"/>
      <c r="F42" s="1801"/>
      <c r="G42" s="1801"/>
      <c r="H42" s="1801"/>
      <c r="I42" s="1801"/>
      <c r="J42" s="1801"/>
      <c r="K42" s="1801"/>
      <c r="L42" s="703"/>
      <c r="M42" s="1769" t="s">
        <v>42</v>
      </c>
      <c r="N42" s="1769"/>
      <c r="O42" s="1769"/>
      <c r="P42" s="1769"/>
      <c r="Q42" s="704"/>
      <c r="R42" s="1769" t="s">
        <v>272</v>
      </c>
      <c r="S42" s="1769"/>
      <c r="T42" s="1769"/>
      <c r="U42" s="1769"/>
      <c r="V42" s="1769"/>
      <c r="W42" s="1769"/>
      <c r="X42" s="1840"/>
      <c r="Y42" s="1840"/>
      <c r="Z42" s="1840"/>
      <c r="AA42" s="703"/>
      <c r="AB42" s="1769" t="s">
        <v>43</v>
      </c>
      <c r="AC42" s="1840"/>
      <c r="AD42" s="1840"/>
      <c r="AE42" s="1840"/>
      <c r="AF42" s="1840"/>
      <c r="AG42" s="1769" t="s">
        <v>273</v>
      </c>
      <c r="AH42" s="1769"/>
      <c r="AI42" s="1769"/>
      <c r="AJ42" s="1769"/>
      <c r="AK42" s="1769"/>
      <c r="AL42" s="1769"/>
      <c r="AM42" s="1840"/>
      <c r="AN42" s="1840"/>
      <c r="AO42" s="1840"/>
      <c r="AP42" s="705"/>
      <c r="AQ42" s="705"/>
      <c r="AR42" s="705"/>
      <c r="AS42" s="705"/>
      <c r="AT42" s="705"/>
      <c r="AU42" s="705"/>
      <c r="AV42" s="705"/>
      <c r="AW42" s="705"/>
      <c r="AX42" s="705"/>
      <c r="AY42" s="705"/>
      <c r="AZ42" s="705"/>
      <c r="BA42" s="705"/>
      <c r="BB42" s="705"/>
      <c r="BC42" s="705"/>
      <c r="BD42" s="705"/>
      <c r="BE42" s="705"/>
      <c r="BF42" s="705"/>
      <c r="BG42" s="705"/>
      <c r="BH42" s="705"/>
      <c r="BI42" s="705"/>
      <c r="BJ42" s="705"/>
      <c r="BK42" s="705"/>
      <c r="BL42" s="705"/>
      <c r="BM42" s="705"/>
      <c r="BN42" s="705"/>
      <c r="BO42" s="705"/>
      <c r="BP42" s="705"/>
      <c r="BQ42" s="705"/>
      <c r="BR42" s="705"/>
      <c r="BS42" s="705"/>
      <c r="BT42" s="705"/>
      <c r="BU42" s="705"/>
      <c r="BV42" s="705"/>
      <c r="BW42" s="705"/>
      <c r="BX42" s="705"/>
      <c r="BY42" s="705"/>
      <c r="BZ42" s="705"/>
      <c r="CA42" s="705"/>
      <c r="CB42" s="705"/>
      <c r="CC42" s="705"/>
    </row>
    <row r="43" spans="1:87" s="706" customFormat="1" ht="18" customHeight="1">
      <c r="A43" s="1785" t="str">
        <f>+IF(EXACT(A41,"")," ",CONCATENATE(ZAKL_DATA!B16))</f>
        <v xml:space="preserve"> </v>
      </c>
      <c r="B43" s="1977"/>
      <c r="C43" s="1977"/>
      <c r="D43" s="1977"/>
      <c r="E43" s="1977"/>
      <c r="F43" s="1977"/>
      <c r="G43" s="1977"/>
      <c r="H43" s="1977"/>
      <c r="I43" s="1977"/>
      <c r="J43" s="1977"/>
      <c r="K43" s="1978"/>
      <c r="L43" s="703"/>
      <c r="M43" s="1785" t="str">
        <f>+IF(EXACT(A41,"")," ",CONCATENATE(ZAKL_DATA!B17))</f>
        <v xml:space="preserve"> </v>
      </c>
      <c r="N43" s="1951"/>
      <c r="O43" s="1951"/>
      <c r="P43" s="1787"/>
      <c r="Q43" s="704"/>
      <c r="R43" s="1964" t="str">
        <f>+IF(EXACT(A41,"")," ",CONCATENATE(ZAKL_DATA!B18))</f>
        <v xml:space="preserve"> </v>
      </c>
      <c r="S43" s="1965"/>
      <c r="T43" s="1965"/>
      <c r="U43" s="1965"/>
      <c r="V43" s="1965"/>
      <c r="W43" s="1965"/>
      <c r="X43" s="1965"/>
      <c r="Y43" s="1965"/>
      <c r="Z43" s="1966"/>
      <c r="AA43" s="703"/>
      <c r="AB43" s="1785" t="str">
        <f>+IF(EXACT(A41,"")," ",CONCATENATE(ZAKL_DATA!B19))</f>
        <v xml:space="preserve"> </v>
      </c>
      <c r="AC43" s="1951"/>
      <c r="AD43" s="1951"/>
      <c r="AE43" s="1787"/>
      <c r="AF43" s="602"/>
      <c r="AG43" s="1964" t="str">
        <f>+IF(EXACT(A41,"")," ",CONCATENATE(ZAKL_DATA!B20))</f>
        <v xml:space="preserve"> </v>
      </c>
      <c r="AH43" s="1965"/>
      <c r="AI43" s="1965"/>
      <c r="AJ43" s="1965"/>
      <c r="AK43" s="1965"/>
      <c r="AL43" s="1965"/>
      <c r="AM43" s="1965"/>
      <c r="AN43" s="1965"/>
      <c r="AO43" s="1966"/>
      <c r="AP43" s="705"/>
      <c r="AQ43" s="705"/>
      <c r="AR43" s="705"/>
      <c r="AS43" s="705"/>
      <c r="AT43" s="705"/>
      <c r="AU43" s="705"/>
      <c r="AV43" s="705"/>
      <c r="AW43" s="705"/>
      <c r="AX43" s="705"/>
      <c r="AY43" s="705"/>
      <c r="AZ43" s="705"/>
      <c r="BA43" s="705"/>
      <c r="BB43" s="705"/>
      <c r="BC43" s="705"/>
      <c r="BD43" s="705"/>
      <c r="BE43" s="705"/>
      <c r="BF43" s="705"/>
      <c r="BG43" s="705"/>
      <c r="BH43" s="705"/>
      <c r="BI43" s="705"/>
      <c r="BJ43" s="705"/>
      <c r="BK43" s="705"/>
      <c r="BL43" s="705"/>
      <c r="BM43" s="705"/>
      <c r="BN43" s="705"/>
      <c r="BO43" s="705"/>
      <c r="BP43" s="705"/>
      <c r="BQ43" s="705"/>
      <c r="BR43" s="705"/>
      <c r="BS43" s="705"/>
      <c r="BT43" s="705"/>
      <c r="BU43" s="705"/>
      <c r="BV43" s="705"/>
      <c r="BW43" s="705"/>
      <c r="BX43" s="705"/>
      <c r="BY43" s="705"/>
      <c r="BZ43" s="705"/>
      <c r="CA43" s="705"/>
      <c r="CB43" s="705"/>
      <c r="CC43" s="705"/>
    </row>
    <row r="44" spans="1:87" ht="5.0999999999999996" customHeight="1">
      <c r="A44" s="1839"/>
      <c r="B44" s="1828"/>
      <c r="C44" s="1828"/>
      <c r="D44" s="1828"/>
      <c r="E44" s="1828"/>
      <c r="F44" s="1828"/>
      <c r="G44" s="1828"/>
      <c r="H44" s="1828"/>
      <c r="I44" s="1828"/>
      <c r="J44" s="1828"/>
      <c r="K44" s="1828"/>
      <c r="L44" s="1828"/>
      <c r="M44" s="1828"/>
      <c r="N44" s="1828"/>
      <c r="O44" s="1828"/>
      <c r="P44" s="1828"/>
      <c r="Q44" s="1828"/>
      <c r="R44" s="1828"/>
      <c r="S44" s="1828"/>
      <c r="T44" s="1828"/>
      <c r="U44" s="1828"/>
      <c r="V44" s="1828"/>
      <c r="W44" s="1828"/>
      <c r="X44" s="1828"/>
      <c r="Y44" s="1828"/>
      <c r="Z44" s="1828"/>
      <c r="AA44" s="1828"/>
      <c r="AB44" s="1828"/>
      <c r="AC44" s="1828"/>
      <c r="AD44" s="1828"/>
      <c r="AE44" s="1828"/>
      <c r="AF44" s="1828"/>
      <c r="AG44" s="1828"/>
      <c r="AH44" s="1828"/>
      <c r="AI44" s="1828"/>
      <c r="AJ44" s="1828"/>
      <c r="AK44" s="1828"/>
      <c r="AL44" s="1828"/>
      <c r="AM44" s="1828"/>
      <c r="AN44" s="1828"/>
      <c r="AO44" s="1934"/>
    </row>
    <row r="45" spans="1:87">
      <c r="A45" s="1764" t="s">
        <v>3825</v>
      </c>
      <c r="B45" s="1806"/>
      <c r="C45" s="1806"/>
      <c r="D45" s="1806"/>
      <c r="E45" s="1806"/>
      <c r="F45" s="1806"/>
      <c r="G45" s="1806"/>
      <c r="H45" s="1806"/>
      <c r="I45" s="1806"/>
      <c r="J45" s="1806"/>
      <c r="K45" s="1806"/>
      <c r="L45" s="1806"/>
      <c r="M45" s="1806"/>
      <c r="N45" s="1806"/>
      <c r="O45" s="1806"/>
      <c r="P45" s="1806"/>
      <c r="Q45" s="1806"/>
      <c r="R45" s="1806"/>
      <c r="S45" s="1806"/>
      <c r="T45" s="1806"/>
      <c r="U45" s="1806"/>
      <c r="V45" s="1806"/>
      <c r="W45" s="1806"/>
      <c r="X45" s="1806"/>
      <c r="Y45" s="1806"/>
      <c r="Z45" s="1806"/>
      <c r="AA45" s="1806"/>
      <c r="AB45" s="1806"/>
      <c r="AC45" s="1806"/>
      <c r="AD45" s="1806"/>
      <c r="AE45" s="1806"/>
      <c r="AF45" s="1806"/>
      <c r="AG45" s="1806"/>
      <c r="AH45" s="1806"/>
      <c r="AI45" s="1806"/>
      <c r="AJ45" s="1806"/>
      <c r="AK45" s="1806"/>
      <c r="AL45" s="1806"/>
      <c r="AM45" s="1806"/>
      <c r="AN45" s="1806"/>
      <c r="AO45" s="1805"/>
    </row>
    <row r="46" spans="1:87" ht="26.1" customHeight="1">
      <c r="A46" s="1969" t="s">
        <v>3945</v>
      </c>
      <c r="B46" s="1970"/>
      <c r="C46" s="1970"/>
      <c r="D46" s="1970"/>
      <c r="E46" s="1970"/>
      <c r="F46" s="1970"/>
      <c r="G46" s="1970"/>
      <c r="H46" s="1970"/>
      <c r="I46" s="1970"/>
      <c r="J46" s="1970"/>
      <c r="K46" s="1970"/>
      <c r="L46" s="1970"/>
      <c r="M46" s="1970"/>
      <c r="N46" s="1970"/>
      <c r="O46" s="1970"/>
      <c r="P46" s="1970"/>
      <c r="Q46" s="1970"/>
      <c r="R46" s="1970"/>
      <c r="S46" s="1970"/>
      <c r="T46" s="1970"/>
      <c r="U46" s="1970"/>
      <c r="V46" s="1970"/>
      <c r="W46" s="1970"/>
      <c r="X46" s="1970"/>
      <c r="Y46" s="1970"/>
      <c r="Z46" s="1970"/>
      <c r="AA46" s="1970"/>
      <c r="AB46" s="1970"/>
      <c r="AC46" s="1970"/>
      <c r="AD46" s="1970"/>
      <c r="AE46" s="1970"/>
      <c r="AF46" s="1970"/>
      <c r="AG46" s="1970"/>
      <c r="AH46" s="1970"/>
      <c r="AI46" s="1970"/>
      <c r="AJ46" s="1970"/>
      <c r="AK46" s="1970"/>
      <c r="AL46" s="1970"/>
      <c r="AM46" s="1970"/>
      <c r="AN46" s="1970"/>
      <c r="AO46" s="1971"/>
    </row>
    <row r="47" spans="1:87">
      <c r="A47" s="603"/>
      <c r="B47" s="604"/>
      <c r="C47" s="604"/>
      <c r="D47" s="604"/>
      <c r="E47" s="604"/>
      <c r="F47" s="604"/>
      <c r="G47" s="604"/>
      <c r="H47" s="604"/>
      <c r="I47" s="604"/>
      <c r="J47" s="604"/>
      <c r="K47" s="604"/>
      <c r="L47" s="604"/>
      <c r="M47" s="604"/>
      <c r="N47" s="604"/>
      <c r="O47" s="604"/>
      <c r="P47" s="604"/>
      <c r="Q47" s="604"/>
      <c r="R47" s="604"/>
      <c r="S47" s="604"/>
      <c r="T47" s="604"/>
      <c r="U47" s="604"/>
      <c r="V47" s="604"/>
      <c r="W47" s="604"/>
      <c r="X47" s="604"/>
      <c r="Y47" s="604"/>
      <c r="Z47" s="604"/>
      <c r="AA47" s="604"/>
      <c r="AB47" s="604"/>
      <c r="AC47" s="604"/>
      <c r="AD47" s="604"/>
      <c r="AE47" s="604"/>
      <c r="AF47" s="604"/>
      <c r="AG47" s="604"/>
      <c r="AH47" s="604"/>
      <c r="AI47" s="604"/>
      <c r="AJ47" s="604"/>
      <c r="AK47" s="604"/>
      <c r="AL47" s="604"/>
      <c r="AM47" s="604"/>
      <c r="AN47" s="604"/>
      <c r="AO47" s="594"/>
    </row>
    <row r="48" spans="1:87">
      <c r="A48" s="605"/>
      <c r="B48" s="269"/>
      <c r="C48" s="1838" t="s">
        <v>3826</v>
      </c>
      <c r="D48" s="1972"/>
      <c r="E48" s="1972"/>
      <c r="F48" s="1972"/>
      <c r="G48" s="1972"/>
      <c r="H48" s="1972"/>
      <c r="I48" s="1972"/>
      <c r="J48" s="1972"/>
      <c r="K48" s="1972"/>
      <c r="L48" s="1972"/>
      <c r="M48" s="1972"/>
      <c r="N48" s="1972"/>
      <c r="O48" s="1972"/>
      <c r="P48" s="1972"/>
      <c r="Q48" s="1972"/>
      <c r="R48" s="1972"/>
      <c r="S48" s="1972"/>
      <c r="T48" s="1972"/>
      <c r="U48" s="1972"/>
      <c r="V48" s="1972"/>
      <c r="W48" s="1972"/>
      <c r="X48" s="1972"/>
      <c r="Y48" s="1972"/>
      <c r="Z48" s="1972"/>
      <c r="AA48" s="1972"/>
      <c r="AB48" s="1972"/>
      <c r="AC48" s="1972"/>
      <c r="AD48" s="1972"/>
      <c r="AE48" s="1972"/>
      <c r="AF48" s="1972"/>
      <c r="AG48" s="1972"/>
      <c r="AH48" s="1972"/>
      <c r="AI48" s="1972"/>
      <c r="AJ48" s="1972"/>
      <c r="AK48" s="1972"/>
      <c r="AL48" s="1972"/>
      <c r="AM48" s="1972"/>
      <c r="AN48" s="1972"/>
      <c r="AO48" s="1973"/>
    </row>
    <row r="49" spans="1:41" ht="25.5" customHeight="1">
      <c r="A49" s="604"/>
      <c r="B49" s="604"/>
      <c r="C49" s="1972"/>
      <c r="D49" s="1972"/>
      <c r="E49" s="1972"/>
      <c r="F49" s="1972"/>
      <c r="G49" s="1972"/>
      <c r="H49" s="1972"/>
      <c r="I49" s="1972"/>
      <c r="J49" s="1972"/>
      <c r="K49" s="1972"/>
      <c r="L49" s="1972"/>
      <c r="M49" s="1972"/>
      <c r="N49" s="1972"/>
      <c r="O49" s="1972"/>
      <c r="P49" s="1972"/>
      <c r="Q49" s="1972"/>
      <c r="R49" s="1972"/>
      <c r="S49" s="1972"/>
      <c r="T49" s="1972"/>
      <c r="U49" s="1972"/>
      <c r="V49" s="1972"/>
      <c r="W49" s="1972"/>
      <c r="X49" s="1972"/>
      <c r="Y49" s="1972"/>
      <c r="Z49" s="1972"/>
      <c r="AA49" s="1972"/>
      <c r="AB49" s="1972"/>
      <c r="AC49" s="1972"/>
      <c r="AD49" s="1972"/>
      <c r="AE49" s="1972"/>
      <c r="AF49" s="1972"/>
      <c r="AG49" s="1972"/>
      <c r="AH49" s="1972"/>
      <c r="AI49" s="1972"/>
      <c r="AJ49" s="1972"/>
      <c r="AK49" s="1972"/>
      <c r="AL49" s="1972"/>
      <c r="AM49" s="1972"/>
      <c r="AN49" s="1972"/>
      <c r="AO49" s="1973"/>
    </row>
    <row r="50" spans="1:41" ht="4.5" customHeight="1">
      <c r="A50" s="1839"/>
      <c r="B50" s="1828"/>
      <c r="C50" s="1828"/>
      <c r="D50" s="1828"/>
      <c r="E50" s="1828"/>
      <c r="F50" s="1828"/>
      <c r="G50" s="1828"/>
      <c r="H50" s="1828"/>
      <c r="I50" s="1828"/>
      <c r="J50" s="1828"/>
      <c r="K50" s="1828"/>
      <c r="L50" s="1828"/>
      <c r="M50" s="1828"/>
      <c r="N50" s="1828"/>
      <c r="O50" s="1828"/>
      <c r="P50" s="1828"/>
      <c r="Q50" s="1828"/>
      <c r="R50" s="1828"/>
      <c r="S50" s="1828"/>
      <c r="T50" s="1828"/>
      <c r="U50" s="1828"/>
      <c r="V50" s="1828"/>
      <c r="W50" s="1828"/>
      <c r="X50" s="1828"/>
      <c r="Y50" s="1828"/>
      <c r="Z50" s="1828"/>
      <c r="AA50" s="1828"/>
      <c r="AB50" s="1828"/>
      <c r="AC50" s="1828"/>
      <c r="AD50" s="1828"/>
      <c r="AE50" s="1828"/>
      <c r="AF50" s="1828"/>
      <c r="AG50" s="1828"/>
      <c r="AH50" s="1828"/>
      <c r="AI50" s="1828"/>
      <c r="AJ50" s="1828"/>
      <c r="AK50" s="409"/>
      <c r="AL50" s="409"/>
      <c r="AM50" s="409"/>
      <c r="AN50" s="409"/>
      <c r="AO50" s="574"/>
    </row>
    <row r="51" spans="1:41">
      <c r="A51" s="1764" t="s">
        <v>3775</v>
      </c>
      <c r="B51" s="1806"/>
      <c r="C51" s="1806"/>
      <c r="D51" s="1806"/>
      <c r="E51" s="1806"/>
      <c r="F51" s="1806"/>
      <c r="G51" s="1806"/>
      <c r="H51" s="1806"/>
      <c r="I51" s="1806"/>
      <c r="J51" s="1806"/>
      <c r="K51" s="1806"/>
      <c r="L51" s="1806"/>
      <c r="M51" s="1806"/>
      <c r="N51" s="1806"/>
      <c r="O51" s="1806"/>
      <c r="P51" s="1806"/>
      <c r="Q51" s="1806"/>
      <c r="R51" s="1806"/>
      <c r="S51" s="1806"/>
      <c r="T51" s="1806"/>
      <c r="U51" s="1806"/>
      <c r="V51" s="1806"/>
      <c r="W51" s="1806"/>
      <c r="X51" s="1806"/>
      <c r="Y51" s="1806"/>
      <c r="Z51" s="1806"/>
      <c r="AA51" s="1806"/>
      <c r="AB51" s="1806"/>
      <c r="AC51" s="1806"/>
      <c r="AD51" s="1806"/>
      <c r="AE51" s="1806"/>
      <c r="AF51" s="1806"/>
      <c r="AG51" s="1806"/>
      <c r="AH51" s="1806"/>
      <c r="AI51" s="1806"/>
      <c r="AJ51" s="1806"/>
      <c r="AK51" s="1806"/>
      <c r="AL51" s="1806"/>
      <c r="AM51" s="1806"/>
      <c r="AN51" s="1806"/>
      <c r="AO51" s="1805"/>
    </row>
    <row r="52" spans="1:41" ht="12.95" customHeight="1">
      <c r="A52" s="1882"/>
      <c r="B52" s="1750"/>
      <c r="C52" s="1750"/>
      <c r="D52" s="1750"/>
      <c r="E52" s="1750"/>
      <c r="F52" s="1750"/>
      <c r="G52" s="1750"/>
      <c r="H52" s="1750"/>
      <c r="I52" s="1750"/>
      <c r="J52" s="1750"/>
      <c r="K52" s="1750"/>
      <c r="L52" s="1750"/>
      <c r="M52" s="1750"/>
      <c r="N52" s="1750"/>
      <c r="O52" s="1750"/>
      <c r="P52" s="1750"/>
      <c r="Q52" s="1750"/>
      <c r="R52" s="1750"/>
      <c r="S52" s="1750"/>
      <c r="T52" s="1750"/>
      <c r="U52" s="1750"/>
      <c r="V52" s="1750"/>
      <c r="W52" s="1750"/>
      <c r="X52" s="1750"/>
      <c r="Y52" s="1750"/>
      <c r="Z52" s="1750"/>
      <c r="AA52" s="1750"/>
      <c r="AB52" s="1750"/>
      <c r="AC52" s="1750"/>
      <c r="AD52" s="1750"/>
      <c r="AE52" s="1750"/>
      <c r="AF52" s="1750"/>
      <c r="AG52" s="1750"/>
      <c r="AH52" s="1750"/>
      <c r="AI52" s="1802" t="s">
        <v>276</v>
      </c>
      <c r="AJ52" s="2008"/>
      <c r="AK52" s="2008"/>
      <c r="AL52" s="1750"/>
      <c r="AM52" s="1750"/>
      <c r="AN52" s="1750"/>
      <c r="AO52" s="1814"/>
    </row>
    <row r="53" spans="1:41" ht="18" customHeight="1">
      <c r="A53" s="1768" t="s">
        <v>3947</v>
      </c>
      <c r="B53" s="1352"/>
      <c r="C53" s="1352"/>
      <c r="D53" s="269"/>
      <c r="E53" s="1954" t="s">
        <v>141</v>
      </c>
      <c r="F53" s="1955"/>
      <c r="G53" s="269" t="s">
        <v>258</v>
      </c>
      <c r="H53" s="2009"/>
      <c r="I53" s="1352"/>
      <c r="J53" s="1352"/>
      <c r="K53" s="1352"/>
      <c r="L53" s="1352"/>
      <c r="M53" s="1352"/>
      <c r="N53" s="1352"/>
      <c r="O53" s="1352"/>
      <c r="P53" s="1352"/>
      <c r="Q53" s="1967" t="s">
        <v>3948</v>
      </c>
      <c r="R53" s="1229"/>
      <c r="S53" s="1229"/>
      <c r="T53" s="1229"/>
      <c r="U53" s="1954" t="s">
        <v>236</v>
      </c>
      <c r="V53" s="1955"/>
      <c r="W53" s="269"/>
      <c r="X53" s="1954" t="s">
        <v>141</v>
      </c>
      <c r="Y53" s="1955"/>
      <c r="Z53" s="269" t="s">
        <v>258</v>
      </c>
      <c r="AA53" s="2009"/>
      <c r="AB53" s="1352"/>
      <c r="AC53" s="1352"/>
      <c r="AD53" s="1352"/>
      <c r="AE53" s="1352"/>
      <c r="AF53" s="1352"/>
      <c r="AG53" s="1352"/>
      <c r="AH53" s="1968"/>
      <c r="AI53" s="1942">
        <v>0</v>
      </c>
      <c r="AJ53" s="1947"/>
      <c r="AK53" s="1827"/>
      <c r="AL53" s="1229"/>
      <c r="AM53" s="1229"/>
      <c r="AN53" s="1229"/>
      <c r="AO53" s="1968"/>
    </row>
    <row r="54" spans="1:41" ht="5.0999999999999996" customHeight="1">
      <c r="A54" s="700"/>
      <c r="B54" s="701"/>
      <c r="C54" s="701"/>
      <c r="D54" s="701"/>
      <c r="E54" s="701"/>
      <c r="F54" s="701"/>
      <c r="G54" s="701"/>
      <c r="H54" s="701"/>
      <c r="I54" s="701"/>
      <c r="J54" s="701"/>
      <c r="K54" s="701"/>
      <c r="L54" s="701"/>
      <c r="M54" s="701"/>
      <c r="N54" s="701"/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  <c r="AO54" s="702"/>
    </row>
    <row r="55" spans="1:41">
      <c r="A55" s="1820" t="s">
        <v>44</v>
      </c>
      <c r="B55" s="1769"/>
      <c r="C55" s="1769"/>
      <c r="D55" s="1828"/>
      <c r="E55" s="1828"/>
      <c r="F55" s="1828"/>
      <c r="G55" s="1828"/>
      <c r="H55" s="1828"/>
      <c r="I55" s="1828"/>
      <c r="J55" s="1828"/>
      <c r="K55" s="1828"/>
      <c r="L55" s="1828"/>
      <c r="M55" s="1828"/>
      <c r="N55" s="1828"/>
      <c r="O55" s="1828"/>
      <c r="P55" s="1828"/>
      <c r="Q55" s="1828"/>
      <c r="R55" s="1828"/>
      <c r="S55" s="1828"/>
      <c r="T55" s="1828"/>
      <c r="U55" s="1828"/>
      <c r="V55" s="1828"/>
      <c r="W55" s="1828"/>
      <c r="X55" s="1828"/>
      <c r="Y55" s="1828"/>
      <c r="Z55" s="1828"/>
      <c r="AA55" s="1828"/>
      <c r="AB55" s="1828"/>
      <c r="AC55" s="1828"/>
      <c r="AD55" s="1828"/>
      <c r="AE55" s="1828"/>
      <c r="AF55" s="1828"/>
      <c r="AG55" s="1352"/>
      <c r="AH55" s="1352"/>
      <c r="AI55" s="1811" t="s">
        <v>310</v>
      </c>
      <c r="AJ55" s="1811"/>
      <c r="AK55" s="1811"/>
      <c r="AL55" s="1811"/>
      <c r="AM55" s="1811"/>
      <c r="AN55" s="1811"/>
      <c r="AO55" s="1990"/>
    </row>
    <row r="56" spans="1:41" ht="18" customHeight="1">
      <c r="A56" s="1991">
        <f ca="1">+TODAY()</f>
        <v>44720</v>
      </c>
      <c r="B56" s="1946"/>
      <c r="C56" s="1992"/>
      <c r="D56" s="409"/>
      <c r="E56" s="1828"/>
      <c r="F56" s="1828"/>
      <c r="G56" s="1840"/>
      <c r="H56" s="1840"/>
      <c r="I56" s="1840"/>
      <c r="J56" s="1840"/>
      <c r="K56" s="1840"/>
      <c r="L56" s="1993" t="s">
        <v>277</v>
      </c>
      <c r="M56" s="1994"/>
      <c r="N56" s="1994"/>
      <c r="O56" s="1994"/>
      <c r="P56" s="1994"/>
      <c r="Q56" s="1994"/>
      <c r="R56" s="1994"/>
      <c r="S56" s="1994"/>
      <c r="T56" s="1994"/>
      <c r="U56" s="1995"/>
      <c r="V56" s="582"/>
      <c r="W56" s="1993" t="s">
        <v>278</v>
      </c>
      <c r="X56" s="1994"/>
      <c r="Y56" s="1994"/>
      <c r="Z56" s="1994"/>
      <c r="AA56" s="1994"/>
      <c r="AB56" s="1994"/>
      <c r="AC56" s="1994"/>
      <c r="AD56" s="1995"/>
      <c r="AE56" s="1828"/>
      <c r="AF56" s="1828"/>
      <c r="AG56" s="1828"/>
      <c r="AH56" s="1828"/>
      <c r="AI56" s="2002"/>
      <c r="AJ56" s="1988"/>
      <c r="AK56" s="1988"/>
      <c r="AL56" s="1988"/>
      <c r="AM56" s="1988"/>
      <c r="AN56" s="1988"/>
      <c r="AO56" s="1989"/>
    </row>
    <row r="57" spans="1:41">
      <c r="A57" s="2005"/>
      <c r="B57" s="2006"/>
      <c r="C57" s="2006"/>
      <c r="D57" s="409"/>
      <c r="E57" s="1840"/>
      <c r="F57" s="1840"/>
      <c r="G57" s="1840"/>
      <c r="H57" s="1840"/>
      <c r="I57" s="1840"/>
      <c r="J57" s="1840"/>
      <c r="K57" s="1840"/>
      <c r="L57" s="1996"/>
      <c r="M57" s="1997"/>
      <c r="N57" s="1997"/>
      <c r="O57" s="1997"/>
      <c r="P57" s="1997"/>
      <c r="Q57" s="1997"/>
      <c r="R57" s="1997"/>
      <c r="S57" s="1997"/>
      <c r="T57" s="1997"/>
      <c r="U57" s="1998"/>
      <c r="V57" s="582"/>
      <c r="W57" s="1996"/>
      <c r="X57" s="1997"/>
      <c r="Y57" s="1997"/>
      <c r="Z57" s="1997"/>
      <c r="AA57" s="1997"/>
      <c r="AB57" s="1997"/>
      <c r="AC57" s="1997"/>
      <c r="AD57" s="1998"/>
      <c r="AE57" s="409"/>
      <c r="AF57" s="409"/>
      <c r="AG57" s="409"/>
      <c r="AH57" s="409"/>
      <c r="AI57" s="1958" t="s">
        <v>3640</v>
      </c>
      <c r="AJ57" s="1958"/>
      <c r="AK57" s="1958"/>
      <c r="AL57" s="1958"/>
      <c r="AM57" s="1958"/>
      <c r="AN57" s="1958"/>
      <c r="AO57" s="1986"/>
    </row>
    <row r="58" spans="1:41" ht="18" customHeight="1">
      <c r="A58" s="2007"/>
      <c r="B58" s="2006"/>
      <c r="C58" s="2006"/>
      <c r="D58" s="409"/>
      <c r="E58" s="1840"/>
      <c r="F58" s="1840"/>
      <c r="G58" s="1840"/>
      <c r="H58" s="1840"/>
      <c r="I58" s="1840"/>
      <c r="J58" s="1840"/>
      <c r="K58" s="1840"/>
      <c r="L58" s="1996"/>
      <c r="M58" s="1997"/>
      <c r="N58" s="1997"/>
      <c r="O58" s="1997"/>
      <c r="P58" s="1997"/>
      <c r="Q58" s="1997"/>
      <c r="R58" s="1997"/>
      <c r="S58" s="1997"/>
      <c r="T58" s="1997"/>
      <c r="U58" s="1998"/>
      <c r="V58" s="582"/>
      <c r="W58" s="1996"/>
      <c r="X58" s="1997"/>
      <c r="Y58" s="1997"/>
      <c r="Z58" s="1997"/>
      <c r="AA58" s="1997"/>
      <c r="AB58" s="1997"/>
      <c r="AC58" s="1997"/>
      <c r="AD58" s="1998"/>
      <c r="AE58" s="409"/>
      <c r="AF58" s="409"/>
      <c r="AG58" s="409"/>
      <c r="AH58" s="409"/>
      <c r="AI58" s="1987"/>
      <c r="AJ58" s="1988"/>
      <c r="AK58" s="1988"/>
      <c r="AL58" s="1988"/>
      <c r="AM58" s="1988"/>
      <c r="AN58" s="1988"/>
      <c r="AO58" s="1989"/>
    </row>
    <row r="59" spans="1:41" ht="38.1" customHeight="1">
      <c r="A59" s="572"/>
      <c r="B59" s="1828"/>
      <c r="C59" s="1828"/>
      <c r="D59" s="1828"/>
      <c r="E59" s="1840"/>
      <c r="F59" s="1840"/>
      <c r="G59" s="1840"/>
      <c r="H59" s="1840"/>
      <c r="I59" s="1840"/>
      <c r="J59" s="1840"/>
      <c r="K59" s="1840"/>
      <c r="L59" s="1996"/>
      <c r="M59" s="1997"/>
      <c r="N59" s="1997"/>
      <c r="O59" s="1997"/>
      <c r="P59" s="1997"/>
      <c r="Q59" s="1997"/>
      <c r="R59" s="1997"/>
      <c r="S59" s="1997"/>
      <c r="T59" s="1997"/>
      <c r="U59" s="1998"/>
      <c r="V59" s="582"/>
      <c r="W59" s="1996"/>
      <c r="X59" s="1997"/>
      <c r="Y59" s="1997"/>
      <c r="Z59" s="1997"/>
      <c r="AA59" s="1997"/>
      <c r="AB59" s="1997"/>
      <c r="AC59" s="1997"/>
      <c r="AD59" s="1998"/>
      <c r="AE59" s="409"/>
      <c r="AF59" s="409"/>
      <c r="AG59" s="409"/>
      <c r="AH59" s="409"/>
      <c r="AI59" s="409"/>
      <c r="AJ59" s="409"/>
      <c r="AK59" s="409"/>
      <c r="AL59" s="409"/>
      <c r="AM59" s="409"/>
      <c r="AN59" s="409"/>
      <c r="AO59" s="574"/>
    </row>
    <row r="60" spans="1:41">
      <c r="A60" s="572"/>
      <c r="B60" s="1828"/>
      <c r="C60" s="1828"/>
      <c r="D60" s="1828"/>
      <c r="E60" s="1840"/>
      <c r="F60" s="1840"/>
      <c r="G60" s="1840"/>
      <c r="H60" s="1840"/>
      <c r="I60" s="1840"/>
      <c r="J60" s="1840"/>
      <c r="K60" s="1840"/>
      <c r="L60" s="1999"/>
      <c r="M60" s="2000"/>
      <c r="N60" s="2000"/>
      <c r="O60" s="2000"/>
      <c r="P60" s="2000"/>
      <c r="Q60" s="2000"/>
      <c r="R60" s="2000"/>
      <c r="S60" s="2000"/>
      <c r="T60" s="2000"/>
      <c r="U60" s="2001"/>
      <c r="V60" s="582"/>
      <c r="W60" s="1999"/>
      <c r="X60" s="2000"/>
      <c r="Y60" s="2000"/>
      <c r="Z60" s="2000"/>
      <c r="AA60" s="2000"/>
      <c r="AB60" s="2000"/>
      <c r="AC60" s="2000"/>
      <c r="AD60" s="2001"/>
      <c r="AE60" s="1828"/>
      <c r="AF60" s="1828"/>
      <c r="AG60" s="1828"/>
      <c r="AH60" s="1828"/>
      <c r="AI60" s="2003" t="s">
        <v>279</v>
      </c>
      <c r="AJ60" s="2003"/>
      <c r="AK60" s="2003"/>
      <c r="AL60" s="2003"/>
      <c r="AM60" s="2003"/>
      <c r="AN60" s="2003"/>
      <c r="AO60" s="2004"/>
    </row>
    <row r="61" spans="1:41" ht="15" customHeight="1">
      <c r="A61" s="1981" t="str">
        <f>+'DAP1'!A46</f>
        <v>Formulář zpracovala ASPEKT HM, daňová, účetní a auditorská kancelář, www.danovapriznani.cz, business.center.cz</v>
      </c>
      <c r="B61" s="1982"/>
      <c r="C61" s="1982"/>
      <c r="D61" s="1982"/>
      <c r="E61" s="1982"/>
      <c r="F61" s="1982"/>
      <c r="G61" s="1982"/>
      <c r="H61" s="1982"/>
      <c r="I61" s="1982"/>
      <c r="J61" s="1982"/>
      <c r="K61" s="1982"/>
      <c r="L61" s="1982"/>
      <c r="M61" s="1982"/>
      <c r="N61" s="1982"/>
      <c r="O61" s="1982"/>
      <c r="P61" s="1982"/>
      <c r="Q61" s="1982"/>
      <c r="R61" s="1982"/>
      <c r="S61" s="1982"/>
      <c r="T61" s="1982"/>
      <c r="U61" s="1982"/>
      <c r="V61" s="1982"/>
      <c r="W61" s="1982"/>
      <c r="X61" s="1982"/>
      <c r="Y61" s="1982"/>
      <c r="Z61" s="1982"/>
      <c r="AA61" s="1982"/>
      <c r="AB61" s="1982"/>
      <c r="AC61" s="1982"/>
      <c r="AD61" s="1982"/>
      <c r="AE61" s="1982"/>
      <c r="AF61" s="1982"/>
      <c r="AG61" s="1982"/>
      <c r="AH61" s="1982"/>
      <c r="AI61" s="1982"/>
      <c r="AJ61" s="1983" t="s">
        <v>3946</v>
      </c>
      <c r="AK61" s="1984"/>
      <c r="AL61" s="1984"/>
      <c r="AM61" s="1984"/>
      <c r="AN61" s="1984"/>
      <c r="AO61" s="1985"/>
    </row>
    <row r="62" spans="1:4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</row>
    <row r="63" spans="1:4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</row>
    <row r="64" spans="1:4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</row>
    <row r="65" spans="1:4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</row>
    <row r="66" spans="1:4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</row>
    <row r="67" spans="1:4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</row>
    <row r="68" spans="1:4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</row>
    <row r="69" spans="1:4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</row>
    <row r="70" spans="1:4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</row>
    <row r="71" spans="1:4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</row>
    <row r="72" spans="1:4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</row>
    <row r="73" spans="1:4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</row>
    <row r="74" spans="1:4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</row>
    <row r="75" spans="1:4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</row>
    <row r="76" spans="1:4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</row>
    <row r="77" spans="1:4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</row>
    <row r="78" spans="1:41" s="27" customFormat="1"/>
    <row r="79" spans="1:41" s="27" customFormat="1"/>
    <row r="80" spans="1:41" s="27" customFormat="1"/>
    <row r="81" s="27" customFormat="1"/>
    <row r="82" s="27" customFormat="1"/>
    <row r="83" s="27" customFormat="1"/>
    <row r="84" s="27" customFormat="1"/>
    <row r="85" s="27" customFormat="1"/>
    <row r="86" s="27" customFormat="1"/>
    <row r="87" s="27" customFormat="1"/>
    <row r="88" s="27" customFormat="1"/>
    <row r="89" s="27" customFormat="1"/>
    <row r="90" s="27" customFormat="1"/>
    <row r="91" s="27" customFormat="1"/>
    <row r="92" s="27" customFormat="1"/>
    <row r="93" s="27" customFormat="1"/>
    <row r="94" s="27" customFormat="1"/>
    <row r="95" s="27" customFormat="1"/>
    <row r="96" s="27" customFormat="1"/>
    <row r="97" s="27" customFormat="1"/>
    <row r="98" s="27" customFormat="1"/>
    <row r="99" s="27" customFormat="1"/>
    <row r="100" s="27" customFormat="1"/>
    <row r="101" s="27" customFormat="1"/>
    <row r="102" s="27" customFormat="1"/>
    <row r="103" s="27" customFormat="1"/>
    <row r="104" s="27" customFormat="1"/>
    <row r="105" s="27" customFormat="1"/>
    <row r="106" s="27" customFormat="1"/>
    <row r="107" s="27" customFormat="1"/>
    <row r="108" s="27" customFormat="1"/>
    <row r="109" s="27" customFormat="1"/>
    <row r="110" s="27" customFormat="1"/>
    <row r="111" s="27" customFormat="1"/>
    <row r="112" s="27" customFormat="1"/>
    <row r="113" s="27" customFormat="1"/>
    <row r="114" s="27" customFormat="1"/>
    <row r="115" s="27" customFormat="1"/>
    <row r="116" s="27" customFormat="1"/>
    <row r="117" s="27" customFormat="1"/>
    <row r="118" s="27" customFormat="1"/>
    <row r="119" s="27" customFormat="1"/>
    <row r="120" s="27" customFormat="1"/>
    <row r="121" s="27" customFormat="1"/>
    <row r="122" s="27" customFormat="1"/>
    <row r="123" s="27" customFormat="1"/>
    <row r="124" s="27" customFormat="1"/>
    <row r="125" s="27" customFormat="1"/>
    <row r="126" s="27" customFormat="1"/>
    <row r="127" s="27" customFormat="1"/>
    <row r="128" s="27" customFormat="1"/>
    <row r="129" s="27" customFormat="1"/>
    <row r="130" s="27" customFormat="1"/>
    <row r="131" s="27" customFormat="1"/>
    <row r="132" s="27" customFormat="1"/>
    <row r="133" s="27" customFormat="1"/>
    <row r="134" s="27" customFormat="1"/>
    <row r="135" s="27" customFormat="1"/>
    <row r="136" s="27" customFormat="1"/>
    <row r="137" s="27" customFormat="1"/>
    <row r="138" s="27" customFormat="1"/>
    <row r="139" s="27" customFormat="1"/>
    <row r="140" s="27" customFormat="1"/>
    <row r="141" s="27" customFormat="1"/>
    <row r="142" s="27" customFormat="1"/>
    <row r="143" s="27" customFormat="1"/>
    <row r="144" s="27" customFormat="1"/>
    <row r="145" s="27" customFormat="1"/>
    <row r="146" s="27" customFormat="1"/>
    <row r="147" s="27" customFormat="1"/>
    <row r="148" s="27" customFormat="1"/>
    <row r="149" s="27" customFormat="1"/>
    <row r="150" s="27" customFormat="1"/>
    <row r="151" s="27" customFormat="1"/>
    <row r="152" s="27" customFormat="1"/>
    <row r="153" s="27" customFormat="1"/>
    <row r="154" s="27" customFormat="1"/>
    <row r="155" s="27" customFormat="1"/>
    <row r="156" s="27" customFormat="1"/>
    <row r="157" s="27" customFormat="1"/>
    <row r="158" s="27" customFormat="1"/>
    <row r="159" s="27" customFormat="1"/>
    <row r="160" s="27" customFormat="1"/>
    <row r="161" s="27" customFormat="1"/>
    <row r="162" s="27" customFormat="1"/>
    <row r="163" s="27" customFormat="1"/>
    <row r="164" s="27" customFormat="1"/>
    <row r="165" s="27" customFormat="1"/>
    <row r="166" s="27" customFormat="1"/>
    <row r="167" s="27" customFormat="1"/>
    <row r="168" s="27" customFormat="1"/>
    <row r="169" s="27" customFormat="1"/>
    <row r="170" s="27" customFormat="1"/>
    <row r="171" s="27" customFormat="1"/>
    <row r="172" s="27" customFormat="1"/>
    <row r="173" s="27" customFormat="1"/>
    <row r="174" s="27" customFormat="1"/>
    <row r="175" s="27" customFormat="1"/>
    <row r="176" s="27" customFormat="1"/>
    <row r="177" s="27" customFormat="1"/>
    <row r="178" s="27" customFormat="1"/>
    <row r="179" s="27" customFormat="1"/>
    <row r="180" s="27" customFormat="1"/>
    <row r="181" s="27" customFormat="1"/>
    <row r="182" s="27" customFormat="1"/>
    <row r="183" s="27" customFormat="1"/>
    <row r="184" s="27" customFormat="1"/>
    <row r="185" s="27" customFormat="1"/>
    <row r="186" s="27" customFormat="1"/>
    <row r="187" s="27" customFormat="1"/>
    <row r="188" s="27" customFormat="1"/>
    <row r="189" s="27" customFormat="1"/>
    <row r="190" s="27" customFormat="1"/>
    <row r="191" s="27" customFormat="1"/>
    <row r="192" s="27" customFormat="1"/>
    <row r="193" s="27" customFormat="1"/>
    <row r="194" s="27" customFormat="1"/>
    <row r="195" s="27" customFormat="1"/>
    <row r="196" s="27" customFormat="1"/>
    <row r="197" s="27" customFormat="1"/>
    <row r="198" s="27" customFormat="1"/>
    <row r="199" s="27" customFormat="1"/>
    <row r="200" s="27" customFormat="1"/>
    <row r="201" s="27" customFormat="1"/>
    <row r="202" s="27" customFormat="1"/>
    <row r="203" s="27" customFormat="1"/>
    <row r="204" s="27" customFormat="1"/>
    <row r="205" s="27" customFormat="1"/>
    <row r="206" s="27" customFormat="1"/>
    <row r="207" s="27" customFormat="1"/>
    <row r="208" s="27" customFormat="1"/>
    <row r="209" s="27" customFormat="1"/>
    <row r="210" s="27" customFormat="1"/>
    <row r="211" s="27" customFormat="1"/>
    <row r="212" s="27" customFormat="1"/>
    <row r="213" s="27" customFormat="1"/>
    <row r="214" s="27" customFormat="1"/>
    <row r="215" s="27" customFormat="1"/>
    <row r="216" s="27" customFormat="1"/>
    <row r="217" s="27" customFormat="1"/>
    <row r="218" s="27" customFormat="1"/>
    <row r="219" s="27" customFormat="1"/>
    <row r="220" s="27" customFormat="1"/>
    <row r="221" s="27" customFormat="1"/>
    <row r="222" s="27" customFormat="1"/>
    <row r="223" s="27" customFormat="1"/>
    <row r="224" s="27" customFormat="1"/>
    <row r="225" s="27" customFormat="1"/>
    <row r="226" s="27" customFormat="1"/>
    <row r="227" s="27" customFormat="1"/>
    <row r="228" s="27" customFormat="1"/>
    <row r="229" s="27" customFormat="1"/>
    <row r="230" s="27" customFormat="1"/>
    <row r="231" s="27" customFormat="1"/>
    <row r="232" s="27" customFormat="1"/>
    <row r="233" s="27" customFormat="1"/>
    <row r="234" s="27" customFormat="1"/>
    <row r="235" s="27" customFormat="1"/>
    <row r="236" s="27" customFormat="1"/>
    <row r="237" s="27" customFormat="1"/>
    <row r="238" s="27" customFormat="1"/>
    <row r="239" s="27" customFormat="1"/>
    <row r="240" s="27" customFormat="1"/>
    <row r="241" s="27" customFormat="1"/>
    <row r="242" s="27" customFormat="1"/>
    <row r="243" s="27" customFormat="1"/>
    <row r="244" s="27" customFormat="1"/>
    <row r="245" s="27" customFormat="1"/>
    <row r="246" s="27" customFormat="1"/>
    <row r="247" s="27" customFormat="1"/>
    <row r="248" s="27" customFormat="1"/>
    <row r="249" s="27" customFormat="1"/>
    <row r="250" s="27" customFormat="1"/>
    <row r="251" s="27" customFormat="1"/>
    <row r="252" s="27" customFormat="1"/>
    <row r="253" s="27" customFormat="1"/>
    <row r="254" s="27" customFormat="1"/>
    <row r="255" s="27" customFormat="1"/>
    <row r="256" s="27" customFormat="1"/>
    <row r="257" s="27" customFormat="1"/>
    <row r="258" s="27" customFormat="1"/>
    <row r="259" s="27" customFormat="1"/>
    <row r="260" s="27" customFormat="1"/>
    <row r="261" s="27" customFormat="1"/>
    <row r="262" s="27" customFormat="1"/>
    <row r="263" s="27" customFormat="1"/>
    <row r="264" s="27" customFormat="1"/>
    <row r="265" s="27" customFormat="1"/>
    <row r="266" s="27" customFormat="1"/>
    <row r="267" s="27" customFormat="1"/>
    <row r="268" s="27" customFormat="1"/>
    <row r="269" s="27" customFormat="1"/>
    <row r="270" s="27" customFormat="1"/>
    <row r="271" s="27" customFormat="1"/>
    <row r="272" s="27" customFormat="1"/>
    <row r="273" s="27" customFormat="1"/>
    <row r="274" s="27" customFormat="1"/>
    <row r="275" s="27" customFormat="1"/>
    <row r="276" s="27" customFormat="1"/>
    <row r="277" s="27" customFormat="1"/>
    <row r="278" s="27" customFormat="1"/>
    <row r="279" s="27" customFormat="1"/>
    <row r="280" s="27" customFormat="1"/>
    <row r="281" s="27" customFormat="1"/>
    <row r="282" s="27" customFormat="1"/>
    <row r="283" s="27" customFormat="1"/>
    <row r="284" s="27" customFormat="1"/>
    <row r="285" s="27" customFormat="1"/>
    <row r="286" s="27" customFormat="1"/>
    <row r="287" s="27" customFormat="1"/>
    <row r="288" s="27" customFormat="1"/>
    <row r="289" s="27" customFormat="1"/>
    <row r="290" s="27" customFormat="1"/>
    <row r="291" s="27" customFormat="1"/>
    <row r="292" s="27" customFormat="1"/>
    <row r="293" s="27" customFormat="1"/>
    <row r="294" s="27" customFormat="1"/>
    <row r="295" s="27" customFormat="1"/>
    <row r="296" s="27" customFormat="1"/>
    <row r="297" s="27" customFormat="1"/>
    <row r="298" s="27" customFormat="1"/>
    <row r="299" s="27" customFormat="1"/>
    <row r="300" s="27" customFormat="1"/>
    <row r="301" s="27" customFormat="1"/>
    <row r="302" s="27" customFormat="1"/>
    <row r="303" s="27" customFormat="1"/>
    <row r="304" s="27" customFormat="1"/>
    <row r="305" s="27" customFormat="1"/>
    <row r="306" s="27" customFormat="1"/>
    <row r="307" s="27" customFormat="1"/>
    <row r="308" s="27" customFormat="1"/>
    <row r="309" s="27" customFormat="1"/>
    <row r="310" s="27" customFormat="1"/>
    <row r="311" s="27" customFormat="1"/>
    <row r="312" s="27" customFormat="1"/>
    <row r="313" s="27" customFormat="1"/>
    <row r="314" s="27" customFormat="1"/>
    <row r="315" s="27" customFormat="1"/>
    <row r="316" s="27" customFormat="1"/>
    <row r="317" s="27" customFormat="1"/>
    <row r="318" s="27" customFormat="1"/>
    <row r="319" s="27" customFormat="1"/>
    <row r="320" s="27" customFormat="1"/>
    <row r="321" s="27" customFormat="1"/>
    <row r="322" s="27" customFormat="1"/>
    <row r="323" s="27" customFormat="1"/>
    <row r="324" s="27" customFormat="1"/>
    <row r="325" s="27" customFormat="1"/>
    <row r="326" s="27" customFormat="1"/>
    <row r="327" s="27" customFormat="1"/>
    <row r="328" s="27" customFormat="1"/>
    <row r="329" s="27" customFormat="1"/>
    <row r="330" s="27" customFormat="1"/>
    <row r="331" s="27" customFormat="1"/>
    <row r="332" s="27" customFormat="1"/>
    <row r="333" s="27" customFormat="1"/>
    <row r="334" s="27" customFormat="1"/>
    <row r="335" s="27" customFormat="1"/>
    <row r="336" s="27" customFormat="1"/>
    <row r="337" s="27" customFormat="1"/>
    <row r="338" s="27" customFormat="1"/>
    <row r="339" s="27" customFormat="1"/>
    <row r="340" s="27" customFormat="1"/>
    <row r="341" s="27" customFormat="1"/>
    <row r="342" s="27" customFormat="1"/>
    <row r="343" s="27" customFormat="1"/>
    <row r="344" s="27" customFormat="1"/>
    <row r="345" s="27" customFormat="1"/>
    <row r="346" s="27" customFormat="1"/>
    <row r="347" s="27" customFormat="1"/>
    <row r="348" s="27" customFormat="1"/>
    <row r="349" s="27" customFormat="1"/>
    <row r="350" s="27" customFormat="1"/>
    <row r="351" s="27" customFormat="1"/>
    <row r="352" s="27" customFormat="1"/>
    <row r="353" s="27" customFormat="1"/>
    <row r="354" s="27" customFormat="1"/>
    <row r="355" s="27" customFormat="1"/>
    <row r="356" s="27" customFormat="1"/>
    <row r="357" s="27" customFormat="1"/>
    <row r="358" s="27" customFormat="1"/>
    <row r="359" s="27" customFormat="1"/>
    <row r="360" s="27" customFormat="1"/>
    <row r="361" s="27" customFormat="1"/>
    <row r="362" s="27" customFormat="1"/>
    <row r="363" s="27" customFormat="1"/>
    <row r="364" s="27" customFormat="1"/>
    <row r="365" s="27" customFormat="1"/>
    <row r="366" s="27" customFormat="1"/>
    <row r="367" s="27" customFormat="1"/>
    <row r="368" s="27" customFormat="1"/>
    <row r="369" s="27" customFormat="1"/>
    <row r="370" s="27" customFormat="1"/>
    <row r="371" s="27" customFormat="1"/>
    <row r="372" s="27" customFormat="1"/>
    <row r="373" s="27" customFormat="1"/>
    <row r="374" s="27" customFormat="1"/>
    <row r="375" s="27" customFormat="1"/>
    <row r="376" s="27" customFormat="1"/>
    <row r="377" s="27" customFormat="1"/>
    <row r="378" s="27" customFormat="1"/>
    <row r="379" s="27" customFormat="1"/>
    <row r="380" s="27" customFormat="1"/>
    <row r="381" s="27" customFormat="1"/>
    <row r="382" s="27" customFormat="1"/>
    <row r="383" s="27" customFormat="1"/>
    <row r="384" s="27" customFormat="1"/>
    <row r="385" s="27" customFormat="1"/>
    <row r="386" s="27" customFormat="1"/>
    <row r="387" s="27" customFormat="1"/>
    <row r="388" s="27" customFormat="1"/>
    <row r="389" s="27" customFormat="1"/>
    <row r="390" s="27" customFormat="1"/>
    <row r="391" s="27" customFormat="1"/>
    <row r="392" s="27" customFormat="1"/>
    <row r="393" s="27" customFormat="1"/>
    <row r="394" s="27" customFormat="1"/>
    <row r="395" s="27" customFormat="1"/>
    <row r="396" s="27" customFormat="1"/>
    <row r="397" s="27" customFormat="1"/>
    <row r="398" s="27" customFormat="1"/>
    <row r="399" s="27" customFormat="1"/>
    <row r="400" s="27" customFormat="1"/>
    <row r="401" s="27" customFormat="1"/>
    <row r="402" s="27" customFormat="1"/>
    <row r="403" s="27" customFormat="1"/>
    <row r="404" s="27" customFormat="1"/>
    <row r="405" s="27" customFormat="1"/>
    <row r="406" s="27" customFormat="1"/>
    <row r="407" s="27" customFormat="1"/>
    <row r="408" s="27" customFormat="1"/>
    <row r="409" s="27" customFormat="1"/>
    <row r="410" s="27" customFormat="1"/>
    <row r="411" s="27" customFormat="1"/>
    <row r="412" s="27" customFormat="1"/>
    <row r="413" s="27" customFormat="1"/>
    <row r="414" s="27" customFormat="1"/>
    <row r="415" s="27" customFormat="1"/>
    <row r="416" s="27" customFormat="1"/>
    <row r="417" s="27" customFormat="1"/>
    <row r="418" s="27" customFormat="1"/>
    <row r="419" s="27" customFormat="1"/>
    <row r="420" s="27" customFormat="1"/>
    <row r="421" s="27" customFormat="1"/>
    <row r="422" s="27" customFormat="1"/>
    <row r="423" s="27" customFormat="1"/>
    <row r="424" s="27" customFormat="1"/>
    <row r="425" s="27" customFormat="1"/>
    <row r="426" s="27" customFormat="1"/>
    <row r="427" s="27" customFormat="1"/>
    <row r="428" s="27" customFormat="1"/>
    <row r="429" s="27" customFormat="1"/>
    <row r="430" s="27" customFormat="1"/>
    <row r="431" s="27" customFormat="1"/>
    <row r="432" s="27" customFormat="1"/>
    <row r="433" s="27" customFormat="1"/>
    <row r="434" s="27" customFormat="1"/>
    <row r="435" s="27" customFormat="1"/>
    <row r="436" s="27" customFormat="1"/>
    <row r="437" s="27" customFormat="1"/>
    <row r="438" s="27" customFormat="1"/>
    <row r="439" s="27" customFormat="1"/>
    <row r="440" s="27" customFormat="1"/>
    <row r="441" s="27" customFormat="1"/>
    <row r="442" s="27" customFormat="1"/>
    <row r="443" s="27" customFormat="1"/>
    <row r="444" s="27" customFormat="1"/>
    <row r="445" s="27" customFormat="1"/>
    <row r="446" s="27" customFormat="1"/>
    <row r="447" s="27" customFormat="1"/>
    <row r="448" s="27" customFormat="1"/>
    <row r="449" s="27" customFormat="1"/>
    <row r="450" s="27" customFormat="1"/>
    <row r="451" s="27" customFormat="1"/>
    <row r="452" s="27" customFormat="1"/>
    <row r="453" s="27" customFormat="1"/>
    <row r="454" s="27" customFormat="1"/>
    <row r="455" s="27" customFormat="1"/>
    <row r="456" s="27" customFormat="1"/>
    <row r="457" s="27" customFormat="1"/>
    <row r="458" s="27" customFormat="1"/>
    <row r="459" s="27" customFormat="1"/>
    <row r="460" s="27" customFormat="1"/>
    <row r="461" s="27" customFormat="1"/>
    <row r="462" s="27" customFormat="1"/>
    <row r="463" s="27" customFormat="1"/>
    <row r="464" s="27" customFormat="1"/>
    <row r="465" s="27" customFormat="1"/>
    <row r="466" s="27" customFormat="1"/>
    <row r="467" s="27" customFormat="1"/>
    <row r="468" s="27" customFormat="1"/>
    <row r="469" s="27" customFormat="1"/>
    <row r="470" s="27" customFormat="1"/>
    <row r="471" s="27" customFormat="1"/>
    <row r="472" s="27" customFormat="1"/>
    <row r="473" s="27" customFormat="1"/>
    <row r="474" s="27" customFormat="1"/>
    <row r="475" s="27" customFormat="1"/>
    <row r="476" s="27" customFormat="1"/>
    <row r="477" s="27" customFormat="1"/>
    <row r="478" s="27" customFormat="1"/>
    <row r="479" s="27" customFormat="1"/>
    <row r="480" s="27" customFormat="1"/>
    <row r="481" s="27" customFormat="1"/>
    <row r="482" s="27" customFormat="1"/>
    <row r="483" s="27" customFormat="1"/>
    <row r="484" s="27" customFormat="1"/>
    <row r="485" s="27" customFormat="1"/>
    <row r="486" s="27" customFormat="1"/>
    <row r="487" s="27" customFormat="1"/>
    <row r="488" s="27" customFormat="1"/>
    <row r="489" s="27" customFormat="1"/>
    <row r="490" s="27" customFormat="1"/>
    <row r="491" s="27" customFormat="1"/>
    <row r="492" s="27" customFormat="1"/>
    <row r="493" s="27" customFormat="1"/>
    <row r="494" s="27" customFormat="1"/>
    <row r="495" s="27" customFormat="1"/>
    <row r="496" s="27" customFormat="1"/>
    <row r="497" s="27" customFormat="1"/>
    <row r="498" s="27" customFormat="1"/>
    <row r="499" s="27" customFormat="1"/>
    <row r="500" s="27" customFormat="1"/>
    <row r="501" s="27" customFormat="1"/>
    <row r="502" s="27" customFormat="1"/>
    <row r="503" s="27" customFormat="1"/>
    <row r="504" s="27" customFormat="1"/>
    <row r="505" s="27" customFormat="1"/>
    <row r="506" s="27" customFormat="1"/>
    <row r="507" s="27" customFormat="1"/>
    <row r="508" s="27" customFormat="1"/>
    <row r="509" s="27" customFormat="1"/>
    <row r="510" s="27" customFormat="1"/>
    <row r="511" s="27" customFormat="1"/>
    <row r="512" s="27" customFormat="1"/>
    <row r="513" s="27" customFormat="1"/>
    <row r="514" s="27" customFormat="1"/>
    <row r="515" s="27" customFormat="1"/>
    <row r="516" s="27" customFormat="1"/>
    <row r="517" s="27" customFormat="1"/>
    <row r="518" s="27" customFormat="1"/>
    <row r="519" s="27" customFormat="1"/>
    <row r="520" s="27" customFormat="1"/>
    <row r="521" s="27" customFormat="1"/>
    <row r="522" s="27" customFormat="1"/>
    <row r="523" s="27" customFormat="1"/>
    <row r="524" s="27" customFormat="1"/>
    <row r="525" s="27" customFormat="1"/>
    <row r="526" s="27" customFormat="1"/>
    <row r="527" s="27" customFormat="1"/>
    <row r="528" s="27" customFormat="1"/>
    <row r="529" s="27" customFormat="1"/>
    <row r="530" s="27" customFormat="1"/>
    <row r="531" s="27" customFormat="1"/>
    <row r="532" s="27" customFormat="1"/>
    <row r="533" s="27" customFormat="1"/>
    <row r="534" s="27" customFormat="1"/>
    <row r="535" s="27" customFormat="1"/>
    <row r="536" s="27" customFormat="1"/>
    <row r="537" s="27" customFormat="1"/>
    <row r="538" s="27" customFormat="1"/>
    <row r="539" s="27" customFormat="1"/>
    <row r="540" s="27" customFormat="1"/>
    <row r="541" s="27" customFormat="1"/>
    <row r="542" s="27" customFormat="1"/>
    <row r="543" s="27" customFormat="1"/>
    <row r="544" s="27" customFormat="1"/>
    <row r="545" s="27" customFormat="1"/>
    <row r="546" s="27" customFormat="1"/>
    <row r="547" s="27" customFormat="1"/>
    <row r="548" s="27" customFormat="1"/>
    <row r="549" s="27" customFormat="1"/>
    <row r="550" s="27" customFormat="1"/>
    <row r="551" s="27" customFormat="1"/>
    <row r="552" s="27" customFormat="1"/>
    <row r="553" s="27" customFormat="1"/>
    <row r="554" s="27" customFormat="1"/>
    <row r="555" s="27" customFormat="1"/>
    <row r="556" s="27" customFormat="1"/>
    <row r="557" s="27" customFormat="1"/>
    <row r="558" s="27" customFormat="1"/>
    <row r="559" s="27" customFormat="1"/>
    <row r="560" s="27" customFormat="1"/>
    <row r="561" s="27" customFormat="1"/>
    <row r="562" s="27" customFormat="1"/>
    <row r="563" s="27" customFormat="1"/>
    <row r="564" s="27" customFormat="1"/>
    <row r="565" s="27" customFormat="1"/>
    <row r="566" s="27" customFormat="1"/>
    <row r="567" s="27" customFormat="1"/>
    <row r="568" s="27" customFormat="1"/>
    <row r="569" s="27" customFormat="1"/>
    <row r="570" s="27" customFormat="1"/>
    <row r="571" s="27" customFormat="1"/>
    <row r="572" s="27" customFormat="1"/>
    <row r="573" s="27" customFormat="1"/>
    <row r="574" s="27" customFormat="1"/>
    <row r="575" s="27" customFormat="1"/>
    <row r="576" s="27" customFormat="1"/>
    <row r="577" s="27" customFormat="1"/>
    <row r="578" s="27" customFormat="1"/>
    <row r="579" s="27" customFormat="1"/>
    <row r="580" s="27" customFormat="1"/>
    <row r="581" s="27" customFormat="1"/>
    <row r="582" s="27" customFormat="1"/>
    <row r="583" s="27" customFormat="1"/>
    <row r="584" s="27" customFormat="1"/>
    <row r="585" s="27" customFormat="1"/>
    <row r="586" s="27" customFormat="1"/>
    <row r="587" s="27" customFormat="1"/>
    <row r="588" s="27" customFormat="1"/>
    <row r="589" s="27" customFormat="1"/>
    <row r="590" s="27" customFormat="1"/>
    <row r="591" s="27" customFormat="1"/>
    <row r="592" s="27" customFormat="1"/>
    <row r="593" s="27" customFormat="1"/>
    <row r="594" s="27" customFormat="1"/>
    <row r="595" s="27" customFormat="1"/>
    <row r="596" s="27" customFormat="1"/>
    <row r="597" s="27" customFormat="1"/>
    <row r="598" s="27" customFormat="1"/>
    <row r="599" s="27" customFormat="1"/>
    <row r="600" s="27" customFormat="1"/>
    <row r="601" s="27" customFormat="1"/>
    <row r="602" s="27" customFormat="1"/>
    <row r="603" s="27" customFormat="1"/>
    <row r="604" s="27" customFormat="1"/>
    <row r="605" s="27" customFormat="1"/>
    <row r="606" s="27" customFormat="1"/>
    <row r="607" s="27" customFormat="1"/>
    <row r="608" s="27" customFormat="1"/>
    <row r="609" s="27" customFormat="1"/>
    <row r="610" s="27" customFormat="1"/>
    <row r="611" s="27" customFormat="1"/>
    <row r="612" s="27" customFormat="1"/>
    <row r="613" s="27" customFormat="1"/>
    <row r="614" s="27" customFormat="1"/>
    <row r="615" s="27" customFormat="1"/>
    <row r="616" s="27" customFormat="1"/>
    <row r="617" s="27" customFormat="1"/>
    <row r="618" s="27" customFormat="1"/>
    <row r="619" s="27" customFormat="1"/>
    <row r="620" s="27" customFormat="1"/>
    <row r="621" s="27" customFormat="1"/>
    <row r="622" s="27" customFormat="1"/>
    <row r="623" s="27" customFormat="1"/>
    <row r="624" s="27" customFormat="1"/>
    <row r="625" s="27" customFormat="1"/>
    <row r="626" s="27" customFormat="1"/>
    <row r="627" s="27" customFormat="1"/>
    <row r="628" s="27" customFormat="1"/>
    <row r="629" s="27" customFormat="1"/>
    <row r="630" s="27" customFormat="1"/>
    <row r="631" s="27" customFormat="1"/>
    <row r="632" s="27" customFormat="1"/>
    <row r="633" s="27" customFormat="1"/>
    <row r="634" s="27" customFormat="1"/>
    <row r="635" s="27" customFormat="1"/>
    <row r="636" s="27" customFormat="1"/>
    <row r="637" s="27" customFormat="1"/>
    <row r="638" s="27" customFormat="1"/>
    <row r="639" s="27" customFormat="1"/>
    <row r="640" s="27" customFormat="1"/>
    <row r="641" s="27" customFormat="1"/>
    <row r="642" s="27" customFormat="1"/>
    <row r="643" s="27" customFormat="1"/>
    <row r="644" s="27" customFormat="1"/>
    <row r="645" s="27" customFormat="1"/>
    <row r="646" s="27" customFormat="1"/>
    <row r="647" s="27" customFormat="1"/>
    <row r="648" s="27" customFormat="1"/>
    <row r="649" s="27" customFormat="1"/>
    <row r="650" s="27" customFormat="1"/>
    <row r="651" s="27" customFormat="1"/>
    <row r="652" s="27" customFormat="1"/>
    <row r="653" s="27" customFormat="1"/>
    <row r="654" s="27" customFormat="1"/>
    <row r="655" s="27" customFormat="1"/>
    <row r="656" s="27" customFormat="1"/>
    <row r="657" s="27" customFormat="1"/>
    <row r="658" s="27" customFormat="1"/>
    <row r="659" s="27" customFormat="1"/>
    <row r="660" s="27" customFormat="1"/>
    <row r="661" s="27" customFormat="1"/>
    <row r="662" s="27" customFormat="1"/>
    <row r="663" s="27" customFormat="1"/>
    <row r="664" s="27" customFormat="1"/>
    <row r="665" s="27" customFormat="1"/>
    <row r="666" s="27" customFormat="1"/>
    <row r="667" s="27" customFormat="1"/>
    <row r="668" s="27" customFormat="1"/>
    <row r="669" s="27" customFormat="1"/>
    <row r="670" s="27" customFormat="1"/>
    <row r="671" s="27" customFormat="1"/>
    <row r="672" s="27" customFormat="1"/>
    <row r="673" s="27" customFormat="1"/>
    <row r="674" s="27" customFormat="1"/>
    <row r="675" s="27" customFormat="1"/>
    <row r="676" s="27" customFormat="1"/>
    <row r="677" s="27" customFormat="1"/>
    <row r="678" s="27" customFormat="1"/>
    <row r="679" s="27" customFormat="1"/>
    <row r="680" s="27" customFormat="1"/>
    <row r="681" s="27" customFormat="1"/>
    <row r="682" s="27" customFormat="1"/>
    <row r="683" s="27" customFormat="1"/>
    <row r="684" s="27" customFormat="1"/>
    <row r="685" s="27" customFormat="1"/>
    <row r="686" s="27" customFormat="1"/>
    <row r="687" s="27" customFormat="1"/>
    <row r="688" s="27" customFormat="1"/>
    <row r="689" s="27" customFormat="1"/>
    <row r="690" s="27" customFormat="1"/>
    <row r="691" s="27" customFormat="1"/>
    <row r="692" s="27" customFormat="1"/>
    <row r="693" s="27" customFormat="1"/>
    <row r="694" s="27" customFormat="1"/>
    <row r="695" s="27" customFormat="1"/>
    <row r="696" s="27" customFormat="1"/>
    <row r="697" s="27" customFormat="1"/>
    <row r="698" s="27" customFormat="1"/>
    <row r="699" s="27" customFormat="1"/>
    <row r="700" s="27" customFormat="1"/>
    <row r="701" s="27" customFormat="1"/>
    <row r="702" s="27" customFormat="1"/>
    <row r="703" s="27" customFormat="1"/>
    <row r="704" s="27" customFormat="1"/>
    <row r="705" s="27" customFormat="1"/>
    <row r="706" s="27" customFormat="1"/>
    <row r="707" s="27" customFormat="1"/>
    <row r="708" s="27" customFormat="1"/>
    <row r="709" s="27" customFormat="1"/>
    <row r="710" s="27" customFormat="1"/>
    <row r="711" s="27" customFormat="1"/>
    <row r="712" s="27" customFormat="1"/>
    <row r="713" s="27" customFormat="1"/>
    <row r="714" s="27" customFormat="1"/>
    <row r="715" s="27" customFormat="1"/>
    <row r="716" s="27" customFormat="1"/>
    <row r="717" s="27" customFormat="1"/>
    <row r="718" s="27" customFormat="1"/>
    <row r="719" s="27" customFormat="1"/>
    <row r="720" s="27" customFormat="1"/>
    <row r="721" s="27" customFormat="1"/>
    <row r="722" s="27" customFormat="1"/>
    <row r="723" s="27" customFormat="1"/>
    <row r="724" s="27" customFormat="1"/>
    <row r="725" s="27" customFormat="1"/>
    <row r="726" s="27" customFormat="1"/>
    <row r="727" s="27" customFormat="1"/>
    <row r="728" s="27" customFormat="1"/>
    <row r="729" s="27" customFormat="1"/>
    <row r="730" s="27" customFormat="1"/>
    <row r="731" s="27" customFormat="1"/>
    <row r="732" s="27" customFormat="1"/>
    <row r="733" s="27" customFormat="1"/>
    <row r="734" s="27" customFormat="1"/>
    <row r="735" s="27" customFormat="1"/>
    <row r="736" s="27" customFormat="1"/>
    <row r="737" s="27" customFormat="1"/>
    <row r="738" s="27" customFormat="1"/>
    <row r="739" s="27" customFormat="1"/>
    <row r="740" s="27" customFormat="1"/>
    <row r="741" s="27" customFormat="1"/>
    <row r="742" s="27" customFormat="1"/>
    <row r="743" s="27" customFormat="1"/>
    <row r="744" s="27" customFormat="1"/>
    <row r="745" s="27" customFormat="1"/>
    <row r="746" s="27" customFormat="1"/>
    <row r="747" s="27" customFormat="1"/>
    <row r="748" s="27" customFormat="1"/>
    <row r="749" s="27" customFormat="1"/>
    <row r="750" s="27" customFormat="1"/>
    <row r="751" s="27" customFormat="1"/>
    <row r="752" s="27" customFormat="1"/>
    <row r="753" s="27" customFormat="1"/>
    <row r="754" s="27" customFormat="1"/>
    <row r="755" s="27" customFormat="1"/>
    <row r="756" s="27" customFormat="1"/>
    <row r="757" s="27" customFormat="1"/>
    <row r="758" s="27" customFormat="1"/>
    <row r="759" s="27" customFormat="1"/>
    <row r="760" s="27" customFormat="1"/>
    <row r="761" s="27" customFormat="1"/>
    <row r="762" s="27" customFormat="1"/>
    <row r="763" s="27" customFormat="1"/>
    <row r="764" s="27" customFormat="1"/>
    <row r="765" s="27" customFormat="1"/>
    <row r="766" s="27" customFormat="1"/>
    <row r="767" s="27" customFormat="1"/>
    <row r="768" s="27" customFormat="1"/>
    <row r="769" s="27" customFormat="1"/>
    <row r="770" s="27" customFormat="1"/>
    <row r="771" s="27" customFormat="1"/>
    <row r="772" s="27" customFormat="1"/>
    <row r="773" s="27" customFormat="1"/>
    <row r="774" s="27" customFormat="1"/>
    <row r="775" s="27" customFormat="1"/>
    <row r="776" s="27" customFormat="1"/>
    <row r="777" s="27" customFormat="1"/>
    <row r="778" s="27" customFormat="1"/>
    <row r="779" s="27" customFormat="1"/>
    <row r="780" s="27" customFormat="1"/>
    <row r="781" s="27" customFormat="1"/>
    <row r="782" s="27" customFormat="1"/>
    <row r="783" s="27" customFormat="1"/>
    <row r="784" s="27" customFormat="1"/>
    <row r="785" s="27" customFormat="1"/>
    <row r="786" s="27" customFormat="1"/>
    <row r="787" s="27" customFormat="1"/>
    <row r="788" s="27" customFormat="1"/>
    <row r="789" s="27" customFormat="1"/>
    <row r="790" s="27" customFormat="1"/>
    <row r="791" s="27" customFormat="1"/>
    <row r="792" s="27" customFormat="1"/>
    <row r="793" s="27" customFormat="1"/>
    <row r="794" s="27" customFormat="1"/>
    <row r="795" s="27" customFormat="1"/>
    <row r="796" s="27" customFormat="1"/>
    <row r="797" s="27" customFormat="1"/>
    <row r="798" s="27" customFormat="1"/>
    <row r="799" s="27" customFormat="1"/>
    <row r="800" s="27" customFormat="1"/>
    <row r="801" s="27" customFormat="1"/>
    <row r="802" s="27" customFormat="1"/>
    <row r="803" s="27" customFormat="1"/>
    <row r="804" s="27" customFormat="1"/>
    <row r="805" s="27" customFormat="1"/>
    <row r="806" s="27" customFormat="1"/>
    <row r="807" s="27" customFormat="1"/>
    <row r="808" s="27" customFormat="1"/>
    <row r="809" s="27" customFormat="1"/>
    <row r="810" s="27" customFormat="1"/>
    <row r="811" s="27" customFormat="1"/>
    <row r="812" s="27" customFormat="1"/>
    <row r="813" s="27" customFormat="1"/>
    <row r="814" s="27" customFormat="1"/>
    <row r="815" s="27" customFormat="1"/>
    <row r="816" s="27" customFormat="1"/>
    <row r="817" s="27" customFormat="1"/>
    <row r="818" s="27" customFormat="1"/>
    <row r="819" s="27" customFormat="1"/>
    <row r="820" s="27" customFormat="1"/>
    <row r="821" s="27" customFormat="1"/>
    <row r="822" s="27" customFormat="1"/>
    <row r="823" s="27" customFormat="1"/>
    <row r="824" s="27" customFormat="1"/>
    <row r="825" s="27" customFormat="1"/>
    <row r="826" s="27" customFormat="1"/>
    <row r="827" s="27" customFormat="1"/>
    <row r="828" s="27" customFormat="1"/>
    <row r="829" s="27" customFormat="1"/>
    <row r="830" s="27" customFormat="1"/>
    <row r="831" s="27" customFormat="1"/>
    <row r="832" s="27" customFormat="1"/>
    <row r="833" s="27" customFormat="1"/>
    <row r="834" s="27" customFormat="1"/>
    <row r="835" s="27" customFormat="1"/>
    <row r="836" s="27" customFormat="1"/>
    <row r="837" s="27" customFormat="1"/>
    <row r="838" s="27" customFormat="1"/>
    <row r="839" s="27" customFormat="1"/>
    <row r="840" s="27" customFormat="1"/>
    <row r="841" s="27" customFormat="1"/>
    <row r="842" s="27" customFormat="1"/>
    <row r="843" s="27" customFormat="1"/>
    <row r="844" s="27" customFormat="1"/>
    <row r="845" s="27" customFormat="1"/>
    <row r="846" s="27" customFormat="1"/>
    <row r="847" s="27" customFormat="1"/>
    <row r="848" s="27" customFormat="1"/>
    <row r="849" s="27" customFormat="1"/>
    <row r="850" s="27" customFormat="1"/>
    <row r="851" s="27" customFormat="1"/>
    <row r="852" s="27" customFormat="1"/>
    <row r="853" s="27" customFormat="1"/>
    <row r="854" s="27" customFormat="1"/>
    <row r="855" s="27" customFormat="1"/>
    <row r="856" s="27" customFormat="1"/>
    <row r="857" s="27" customFormat="1"/>
    <row r="858" s="27" customFormat="1"/>
    <row r="859" s="27" customFormat="1"/>
    <row r="860" s="27" customFormat="1"/>
    <row r="861" s="27" customFormat="1"/>
    <row r="862" s="27" customFormat="1"/>
    <row r="863" s="27" customFormat="1"/>
    <row r="864" s="27" customFormat="1"/>
    <row r="865" s="27" customFormat="1"/>
    <row r="866" s="27" customFormat="1"/>
    <row r="867" s="27" customFormat="1"/>
    <row r="868" s="27" customFormat="1"/>
    <row r="869" s="27" customFormat="1"/>
    <row r="870" s="27" customFormat="1"/>
    <row r="871" s="27" customFormat="1"/>
    <row r="872" s="27" customFormat="1"/>
    <row r="873" s="27" customFormat="1"/>
    <row r="874" s="27" customFormat="1"/>
    <row r="875" s="27" customFormat="1"/>
    <row r="876" s="27" customFormat="1"/>
    <row r="877" s="27" customFormat="1"/>
    <row r="878" s="27" customFormat="1"/>
    <row r="879" s="27" customFormat="1"/>
    <row r="880" s="27" customFormat="1"/>
    <row r="881" s="27" customFormat="1"/>
    <row r="882" s="27" customFormat="1"/>
    <row r="883" s="27" customFormat="1"/>
    <row r="884" s="27" customFormat="1"/>
    <row r="885" s="27" customFormat="1"/>
    <row r="886" s="27" customFormat="1"/>
    <row r="887" s="27" customFormat="1"/>
    <row r="888" s="27" customFormat="1"/>
    <row r="889" s="27" customFormat="1"/>
    <row r="890" s="27" customFormat="1"/>
    <row r="891" s="27" customFormat="1"/>
    <row r="892" s="27" customFormat="1"/>
    <row r="893" s="27" customFormat="1"/>
    <row r="894" s="27" customFormat="1"/>
    <row r="895" s="27" customFormat="1"/>
    <row r="896" s="27" customFormat="1"/>
    <row r="897" s="27" customFormat="1"/>
    <row r="898" s="27" customFormat="1"/>
    <row r="899" s="27" customFormat="1"/>
    <row r="900" s="27" customFormat="1"/>
    <row r="901" s="27" customFormat="1"/>
    <row r="902" s="27" customFormat="1"/>
    <row r="903" s="27" customFormat="1"/>
    <row r="904" s="27" customFormat="1"/>
    <row r="905" s="27" customFormat="1"/>
    <row r="906" s="27" customFormat="1"/>
    <row r="907" s="27" customFormat="1"/>
    <row r="908" s="27" customFormat="1"/>
    <row r="909" s="27" customFormat="1"/>
    <row r="910" s="27" customFormat="1"/>
    <row r="911" s="27" customFormat="1"/>
    <row r="912" s="27" customFormat="1"/>
    <row r="913" s="27" customFormat="1"/>
    <row r="914" s="27" customFormat="1"/>
    <row r="915" s="27" customFormat="1"/>
    <row r="916" s="27" customFormat="1"/>
    <row r="917" s="27" customFormat="1"/>
    <row r="918" s="27" customFormat="1"/>
    <row r="919" s="27" customFormat="1"/>
    <row r="920" s="27" customFormat="1"/>
    <row r="921" s="27" customFormat="1"/>
    <row r="922" s="27" customFormat="1"/>
    <row r="923" s="27" customFormat="1"/>
    <row r="924" s="27" customFormat="1"/>
    <row r="925" s="27" customFormat="1"/>
    <row r="926" s="27" customFormat="1"/>
    <row r="927" s="27" customFormat="1"/>
    <row r="928" s="27" customFormat="1"/>
    <row r="929" s="27" customFormat="1"/>
    <row r="930" s="27" customFormat="1"/>
    <row r="931" s="27" customFormat="1"/>
    <row r="932" s="27" customFormat="1"/>
    <row r="933" s="27" customFormat="1"/>
    <row r="934" s="27" customFormat="1"/>
    <row r="935" s="27" customFormat="1"/>
    <row r="936" s="27" customFormat="1"/>
    <row r="937" s="27" customFormat="1"/>
    <row r="938" s="27" customFormat="1"/>
    <row r="939" s="27" customFormat="1"/>
    <row r="940" s="27" customFormat="1"/>
    <row r="941" s="27" customFormat="1"/>
    <row r="942" s="27" customFormat="1"/>
    <row r="943" s="27" customFormat="1"/>
    <row r="944" s="27" customFormat="1"/>
    <row r="945" s="27" customFormat="1"/>
    <row r="946" s="27" customFormat="1"/>
    <row r="947" s="27" customFormat="1"/>
    <row r="948" s="27" customFormat="1"/>
    <row r="949" s="27" customFormat="1"/>
    <row r="950" s="27" customFormat="1"/>
    <row r="951" s="27" customFormat="1"/>
    <row r="952" s="27" customFormat="1"/>
    <row r="953" s="27" customFormat="1"/>
    <row r="954" s="27" customFormat="1"/>
    <row r="955" s="27" customFormat="1"/>
    <row r="956" s="27" customFormat="1"/>
    <row r="957" s="27" customFormat="1"/>
    <row r="958" s="27" customFormat="1"/>
    <row r="959" s="27" customFormat="1"/>
    <row r="960" s="27" customFormat="1"/>
    <row r="961" s="27" customFormat="1"/>
    <row r="962" s="27" customFormat="1"/>
    <row r="963" s="27" customFormat="1"/>
    <row r="964" s="27" customFormat="1"/>
    <row r="965" s="27" customFormat="1"/>
    <row r="966" s="27" customFormat="1"/>
    <row r="967" s="27" customFormat="1"/>
    <row r="968" s="27" customFormat="1"/>
    <row r="969" s="27" customFormat="1"/>
    <row r="970" s="27" customFormat="1"/>
    <row r="971" s="27" customFormat="1"/>
    <row r="972" s="27" customFormat="1"/>
    <row r="973" s="27" customFormat="1"/>
    <row r="974" s="27" customFormat="1"/>
    <row r="975" s="27" customFormat="1"/>
    <row r="976" s="27" customFormat="1"/>
    <row r="977" s="27" customFormat="1"/>
    <row r="978" s="27" customFormat="1"/>
    <row r="979" s="27" customFormat="1"/>
    <row r="980" s="27" customFormat="1"/>
    <row r="981" s="27" customFormat="1"/>
    <row r="982" s="27" customFormat="1"/>
    <row r="983" s="27" customFormat="1"/>
    <row r="984" s="27" customFormat="1"/>
    <row r="985" s="27" customFormat="1"/>
    <row r="986" s="27" customFormat="1"/>
    <row r="987" s="27" customFormat="1"/>
    <row r="988" s="27" customFormat="1"/>
    <row r="989" s="27" customFormat="1"/>
    <row r="990" s="27" customFormat="1"/>
    <row r="991" s="27" customFormat="1"/>
    <row r="992" s="27" customFormat="1"/>
    <row r="993" s="27" customFormat="1"/>
    <row r="994" s="27" customFormat="1"/>
    <row r="995" s="27" customFormat="1"/>
    <row r="996" s="27" customFormat="1"/>
    <row r="997" s="27" customFormat="1"/>
    <row r="998" s="27" customFormat="1"/>
    <row r="999" s="27" customFormat="1"/>
    <row r="1000" s="27" customFormat="1"/>
    <row r="1001" s="27" customFormat="1"/>
    <row r="1002" s="27" customFormat="1"/>
    <row r="1003" s="27" customFormat="1"/>
    <row r="1004" s="27" customFormat="1"/>
    <row r="1005" s="27" customFormat="1"/>
    <row r="1006" s="27" customFormat="1"/>
    <row r="1007" s="27" customFormat="1"/>
    <row r="1008" s="27" customFormat="1"/>
    <row r="1009" s="27" customFormat="1"/>
    <row r="1010" s="27" customFormat="1"/>
    <row r="1011" s="27" customFormat="1"/>
    <row r="1012" s="27" customFormat="1"/>
    <row r="1013" s="27" customFormat="1"/>
    <row r="1014" s="27" customFormat="1"/>
    <row r="1015" s="27" customFormat="1"/>
    <row r="1016" s="27" customFormat="1"/>
    <row r="1017" s="27" customFormat="1"/>
    <row r="1018" s="27" customFormat="1"/>
    <row r="1019" s="27" customFormat="1"/>
    <row r="1020" s="27" customFormat="1"/>
    <row r="1021" s="27" customFormat="1"/>
    <row r="1022" s="27" customFormat="1"/>
    <row r="1023" s="27" customFormat="1"/>
    <row r="1024" s="27" customFormat="1"/>
    <row r="1025" s="27" customFormat="1"/>
    <row r="1026" s="27" customFormat="1"/>
    <row r="1027" s="27" customFormat="1"/>
    <row r="1028" s="27" customFormat="1"/>
    <row r="1029" s="27" customFormat="1"/>
    <row r="1030" s="27" customFormat="1"/>
    <row r="1031" s="27" customFormat="1"/>
    <row r="1032" s="27" customFormat="1"/>
    <row r="1033" s="27" customFormat="1"/>
    <row r="1034" s="27" customFormat="1"/>
    <row r="1035" s="27" customFormat="1"/>
    <row r="1036" s="27" customFormat="1"/>
    <row r="1037" s="27" customFormat="1"/>
    <row r="1038" s="27" customFormat="1"/>
    <row r="1039" s="27" customFormat="1"/>
    <row r="1040" s="27" customFormat="1"/>
    <row r="1041" s="27" customFormat="1"/>
    <row r="1042" s="27" customFormat="1"/>
    <row r="1043" s="27" customFormat="1"/>
    <row r="1044" s="27" customFormat="1"/>
    <row r="1045" s="27" customFormat="1"/>
    <row r="1046" s="27" customFormat="1"/>
    <row r="1047" s="27" customFormat="1"/>
    <row r="1048" s="27" customFormat="1"/>
    <row r="1049" s="27" customFormat="1"/>
    <row r="1050" s="27" customFormat="1"/>
    <row r="1051" s="27" customFormat="1"/>
    <row r="1052" s="27" customFormat="1"/>
    <row r="1053" s="27" customFormat="1"/>
    <row r="1054" s="27" customFormat="1"/>
    <row r="1055" s="27" customFormat="1"/>
    <row r="1056" s="27" customFormat="1"/>
    <row r="1057" s="27" customFormat="1"/>
    <row r="1058" s="27" customFormat="1"/>
    <row r="1059" s="27" customFormat="1"/>
    <row r="1060" s="27" customFormat="1"/>
    <row r="1061" s="27" customFormat="1"/>
  </sheetData>
  <sheetProtection algorithmName="SHA-512" hashValue="CkbNvSVAZIxgPQsWIRuofcB5MJvhQXUEE/b5cOSk2xHCYjeYbigx5kZj9axWw3VlDpqdN6/eA+Meb0sTzABNZg==" saltValue="ZJgK1eMy/cg3Kq8C08sUGQ==" spinCount="100000" sheet="1" objects="1" scenarios="1"/>
  <mergeCells count="149">
    <mergeCell ref="AI53:AJ53"/>
    <mergeCell ref="AI52:AO52"/>
    <mergeCell ref="AK53:AO53"/>
    <mergeCell ref="A53:C53"/>
    <mergeCell ref="E53:F53"/>
    <mergeCell ref="Q53:T53"/>
    <mergeCell ref="U53:V53"/>
    <mergeCell ref="X53:Y53"/>
    <mergeCell ref="H53:P53"/>
    <mergeCell ref="AA53:AH53"/>
    <mergeCell ref="A52:AH52"/>
    <mergeCell ref="A61:AI61"/>
    <mergeCell ref="AJ61:AO61"/>
    <mergeCell ref="AI57:AO57"/>
    <mergeCell ref="AI58:AO58"/>
    <mergeCell ref="B59:D60"/>
    <mergeCell ref="AE60:AH60"/>
    <mergeCell ref="A55:C55"/>
    <mergeCell ref="AI55:AO55"/>
    <mergeCell ref="A56:C56"/>
    <mergeCell ref="E56:K60"/>
    <mergeCell ref="L56:U60"/>
    <mergeCell ref="W56:AD60"/>
    <mergeCell ref="AE56:AH56"/>
    <mergeCell ref="AI56:AO56"/>
    <mergeCell ref="AI60:AO60"/>
    <mergeCell ref="D55:AH55"/>
    <mergeCell ref="A57:C58"/>
    <mergeCell ref="A51:AO51"/>
    <mergeCell ref="A44:AO44"/>
    <mergeCell ref="A45:AO45"/>
    <mergeCell ref="A46:AO46"/>
    <mergeCell ref="C48:AO49"/>
    <mergeCell ref="A37:AO37"/>
    <mergeCell ref="A38:AO38"/>
    <mergeCell ref="A39:AH39"/>
    <mergeCell ref="AI39:AO39"/>
    <mergeCell ref="A40:K40"/>
    <mergeCell ref="L40:L41"/>
    <mergeCell ref="M40:U40"/>
    <mergeCell ref="W40:Z40"/>
    <mergeCell ref="AB40:AG40"/>
    <mergeCell ref="AI40:AO40"/>
    <mergeCell ref="A41:K41"/>
    <mergeCell ref="M41:U41"/>
    <mergeCell ref="W41:Z41"/>
    <mergeCell ref="AB41:AG41"/>
    <mergeCell ref="AI41:AO41"/>
    <mergeCell ref="A43:K43"/>
    <mergeCell ref="A42:K42"/>
    <mergeCell ref="M43:P43"/>
    <mergeCell ref="M42:P42"/>
    <mergeCell ref="A36:E36"/>
    <mergeCell ref="G36:K36"/>
    <mergeCell ref="L36:AN36"/>
    <mergeCell ref="A33:AO33"/>
    <mergeCell ref="A31:AO31"/>
    <mergeCell ref="A32:H32"/>
    <mergeCell ref="I32:J32"/>
    <mergeCell ref="L32:M32"/>
    <mergeCell ref="A50:AJ50"/>
    <mergeCell ref="R43:Z43"/>
    <mergeCell ref="R42:Z42"/>
    <mergeCell ref="AB42:AF42"/>
    <mergeCell ref="AB43:AE43"/>
    <mergeCell ref="AG42:AO42"/>
    <mergeCell ref="AG43:AO43"/>
    <mergeCell ref="P32:AO32"/>
    <mergeCell ref="A26:AO26"/>
    <mergeCell ref="A27:AO27"/>
    <mergeCell ref="A28:H28"/>
    <mergeCell ref="I28:J28"/>
    <mergeCell ref="L28:M28"/>
    <mergeCell ref="A34:AO34"/>
    <mergeCell ref="A35:K35"/>
    <mergeCell ref="L35:AO35"/>
    <mergeCell ref="A25:AO25"/>
    <mergeCell ref="P28:AH28"/>
    <mergeCell ref="AI28:AJ28"/>
    <mergeCell ref="AL28:AM28"/>
    <mergeCell ref="A29:AO29"/>
    <mergeCell ref="A30:H30"/>
    <mergeCell ref="I30:J30"/>
    <mergeCell ref="L30:M30"/>
    <mergeCell ref="P30:AG30"/>
    <mergeCell ref="AH30:AN30"/>
    <mergeCell ref="AJ20:AO20"/>
    <mergeCell ref="A21:AO21"/>
    <mergeCell ref="C22:AO22"/>
    <mergeCell ref="A23:D23"/>
    <mergeCell ref="E23:E24"/>
    <mergeCell ref="F23:J23"/>
    <mergeCell ref="K23:AA23"/>
    <mergeCell ref="AB23:AB24"/>
    <mergeCell ref="AC23:AG23"/>
    <mergeCell ref="AH23:AO23"/>
    <mergeCell ref="A20:F20"/>
    <mergeCell ref="H20:K20"/>
    <mergeCell ref="M20:U20"/>
    <mergeCell ref="W20:Z20"/>
    <mergeCell ref="AA20:AB20"/>
    <mergeCell ref="AC20:AH20"/>
    <mergeCell ref="A24:D24"/>
    <mergeCell ref="F24:I24"/>
    <mergeCell ref="K24:AA24"/>
    <mergeCell ref="AC24:AF24"/>
    <mergeCell ref="AH24:AO24"/>
    <mergeCell ref="D18:AO18"/>
    <mergeCell ref="A19:G19"/>
    <mergeCell ref="H19:L19"/>
    <mergeCell ref="M19:U19"/>
    <mergeCell ref="W19:Z19"/>
    <mergeCell ref="AC19:AH19"/>
    <mergeCell ref="AJ19:AO19"/>
    <mergeCell ref="A14:AO14"/>
    <mergeCell ref="A15:M15"/>
    <mergeCell ref="N15:P15"/>
    <mergeCell ref="AL15:AM15"/>
    <mergeCell ref="A16:AO16"/>
    <mergeCell ref="A17:AO17"/>
    <mergeCell ref="A10:AO10"/>
    <mergeCell ref="A11:AO11"/>
    <mergeCell ref="A12:AO12"/>
    <mergeCell ref="A13:M13"/>
    <mergeCell ref="N13:Y13"/>
    <mergeCell ref="Z13:AO13"/>
    <mergeCell ref="A8:AO8"/>
    <mergeCell ref="A9:F9"/>
    <mergeCell ref="G9:O9"/>
    <mergeCell ref="P9:Q9"/>
    <mergeCell ref="R9:AC9"/>
    <mergeCell ref="AD9:AL9"/>
    <mergeCell ref="AM9:AO9"/>
    <mergeCell ref="A7:F7"/>
    <mergeCell ref="H7:K7"/>
    <mergeCell ref="M7:Q7"/>
    <mergeCell ref="R7:AC7"/>
    <mergeCell ref="AD7:AL7"/>
    <mergeCell ref="AM7:AO7"/>
    <mergeCell ref="A4:AO4"/>
    <mergeCell ref="A1:C3"/>
    <mergeCell ref="D1:AI1"/>
    <mergeCell ref="D2:M3"/>
    <mergeCell ref="N2:V2"/>
    <mergeCell ref="W2:AH2"/>
    <mergeCell ref="N3:V3"/>
    <mergeCell ref="W3:AO3"/>
    <mergeCell ref="A5:AO5"/>
    <mergeCell ref="A6:AO6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7" orientation="portrait" horizontalDpi="300" verticalDpi="300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>
      <selection activeCell="R15" sqref="R15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433"/>
  </cols>
  <sheetData>
    <row r="1" spans="1:71" ht="45.75" customHeight="1">
      <c r="A1" s="2057" t="s">
        <v>3712</v>
      </c>
      <c r="B1" s="2058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</row>
    <row r="2" spans="1:71">
      <c r="A2" s="1853"/>
      <c r="B2" s="1352"/>
      <c r="C2" s="1352"/>
      <c r="D2" s="1352"/>
      <c r="E2" s="1352"/>
      <c r="F2" s="1352"/>
      <c r="G2" s="1352"/>
      <c r="H2" s="1352"/>
      <c r="I2" s="1352"/>
      <c r="J2" s="1352"/>
      <c r="K2" s="1352"/>
      <c r="L2" s="1352"/>
      <c r="M2" s="1352"/>
      <c r="N2" s="1352"/>
      <c r="O2" s="1352"/>
      <c r="P2" s="1352"/>
      <c r="Q2" s="1352"/>
      <c r="R2" s="1352"/>
      <c r="S2" s="1352"/>
      <c r="T2" s="1352"/>
      <c r="U2" s="1352"/>
      <c r="V2" s="1352"/>
      <c r="W2" s="1352"/>
      <c r="X2" s="1352"/>
      <c r="Y2" s="1352"/>
      <c r="Z2" s="1352"/>
      <c r="AA2" s="1352"/>
      <c r="AB2" s="1352"/>
      <c r="AC2" s="1352"/>
      <c r="AD2" s="1352"/>
      <c r="AE2" s="1352"/>
    </row>
    <row r="3" spans="1:71" ht="18">
      <c r="A3" s="2059" t="s">
        <v>3679</v>
      </c>
      <c r="B3" s="2060"/>
      <c r="C3" s="2060"/>
      <c r="D3" s="2060"/>
      <c r="E3" s="2060"/>
      <c r="F3" s="2060"/>
      <c r="G3" s="2060"/>
      <c r="H3" s="2060"/>
      <c r="I3" s="2060"/>
      <c r="J3" s="2060"/>
      <c r="K3" s="2060"/>
      <c r="L3" s="2060"/>
      <c r="M3" s="2060"/>
      <c r="N3" s="2060"/>
      <c r="O3" s="2060"/>
      <c r="P3" s="2060"/>
      <c r="Q3" s="2060"/>
      <c r="R3" s="2060"/>
      <c r="S3" s="2060"/>
      <c r="T3" s="2060"/>
      <c r="U3" s="2060"/>
      <c r="V3" s="2060"/>
      <c r="W3" s="2060"/>
      <c r="X3" s="2060"/>
      <c r="Y3" s="2060"/>
      <c r="Z3" s="2060"/>
      <c r="AA3" s="2060"/>
      <c r="AB3" s="2060"/>
      <c r="AC3" s="2060"/>
      <c r="AD3" s="2060"/>
      <c r="AE3" s="2060"/>
    </row>
    <row r="4" spans="1:71" ht="18">
      <c r="A4" s="2059" t="s">
        <v>3680</v>
      </c>
      <c r="B4" s="2060"/>
      <c r="C4" s="2060"/>
      <c r="D4" s="2060"/>
      <c r="E4" s="2060"/>
      <c r="F4" s="2060"/>
      <c r="G4" s="2060"/>
      <c r="H4" s="2060"/>
      <c r="I4" s="2060"/>
      <c r="J4" s="2060"/>
      <c r="K4" s="2060"/>
      <c r="L4" s="2060"/>
      <c r="M4" s="2060"/>
      <c r="N4" s="2060"/>
      <c r="O4" s="2060"/>
      <c r="P4" s="2060"/>
      <c r="Q4" s="2060"/>
      <c r="R4" s="2060"/>
      <c r="S4" s="2060"/>
      <c r="T4" s="2060"/>
      <c r="U4" s="2060"/>
      <c r="V4" s="2060"/>
      <c r="W4" s="2060"/>
      <c r="X4" s="2060"/>
      <c r="Y4" s="2060"/>
      <c r="Z4" s="2060"/>
      <c r="AA4" s="2060"/>
      <c r="AB4" s="2060"/>
      <c r="AC4" s="2060"/>
      <c r="AD4" s="2060"/>
      <c r="AE4" s="2060"/>
    </row>
    <row r="5" spans="1:71" ht="15.75">
      <c r="A5" s="2061" t="s">
        <v>3681</v>
      </c>
      <c r="B5" s="2062"/>
      <c r="C5" s="2062"/>
      <c r="D5" s="2062"/>
      <c r="E5" s="2062"/>
      <c r="F5" s="2062"/>
      <c r="G5" s="2062"/>
      <c r="H5" s="2062"/>
      <c r="I5" s="2062"/>
      <c r="J5" s="2062"/>
      <c r="K5" s="2062"/>
      <c r="L5" s="2062"/>
      <c r="M5" s="2062"/>
      <c r="N5" s="2062"/>
      <c r="O5" s="2062"/>
      <c r="P5" s="2062"/>
      <c r="Q5" s="2062"/>
      <c r="R5" s="2062"/>
      <c r="S5" s="2062"/>
      <c r="T5" s="2062"/>
      <c r="U5" s="2062"/>
      <c r="V5" s="2062"/>
      <c r="W5" s="2062"/>
      <c r="X5" s="2062"/>
      <c r="Y5" s="2062"/>
      <c r="Z5" s="2062"/>
      <c r="AA5" s="2062"/>
      <c r="AB5" s="2062"/>
      <c r="AC5" s="2062"/>
      <c r="AD5" s="2062"/>
      <c r="AE5" s="2062"/>
    </row>
    <row r="6" spans="1:71">
      <c r="A6" s="1853"/>
      <c r="B6" s="1352"/>
      <c r="C6" s="1352"/>
      <c r="D6" s="1352"/>
      <c r="E6" s="1352"/>
      <c r="F6" s="1352"/>
      <c r="G6" s="1352"/>
      <c r="H6" s="1352"/>
      <c r="I6" s="1352"/>
      <c r="J6" s="1352"/>
      <c r="K6" s="1352"/>
      <c r="L6" s="1352"/>
      <c r="M6" s="1352"/>
      <c r="N6" s="1352"/>
      <c r="O6" s="1352"/>
      <c r="P6" s="1352"/>
      <c r="Q6" s="1352"/>
      <c r="R6" s="1352"/>
      <c r="S6" s="1352"/>
      <c r="T6" s="1352"/>
      <c r="U6" s="1352"/>
      <c r="V6" s="1352"/>
      <c r="W6" s="1352"/>
      <c r="X6" s="1352"/>
      <c r="Y6" s="1352"/>
      <c r="Z6" s="1352"/>
      <c r="AA6" s="1352"/>
      <c r="AB6" s="1352"/>
      <c r="AC6" s="1352"/>
      <c r="AD6" s="1352"/>
      <c r="AE6" s="1352"/>
    </row>
    <row r="7" spans="1:71" ht="27" customHeight="1">
      <c r="A7" s="2045" t="s">
        <v>3682</v>
      </c>
      <c r="B7" s="2046"/>
      <c r="C7" s="419"/>
      <c r="D7" s="2052" t="s">
        <v>3683</v>
      </c>
      <c r="E7" s="2053"/>
      <c r="F7" s="2053"/>
      <c r="G7" s="2053"/>
      <c r="H7" s="2053"/>
      <c r="I7" s="2053"/>
      <c r="J7" s="2053"/>
      <c r="K7" s="2053"/>
      <c r="L7" s="2053"/>
      <c r="M7" s="2053"/>
      <c r="N7" s="2053"/>
      <c r="O7" s="2053"/>
      <c r="P7" s="2053"/>
      <c r="Q7" s="419"/>
      <c r="R7" s="2055" t="s">
        <v>3684</v>
      </c>
      <c r="S7" s="2056"/>
      <c r="T7" s="2056"/>
      <c r="U7" s="2056"/>
      <c r="V7" s="2056"/>
      <c r="W7" s="2056"/>
      <c r="X7" s="2056"/>
      <c r="Y7" s="2056"/>
      <c r="Z7" s="2056"/>
      <c r="AA7" s="2056"/>
      <c r="AB7" s="2056"/>
      <c r="AC7" s="2056"/>
      <c r="AD7" s="2056"/>
      <c r="AE7" s="2056"/>
    </row>
    <row r="8" spans="1:71" ht="18" customHeight="1">
      <c r="A8" s="2047" t="str">
        <f>+'SP1'!$A$6:$F$6</f>
        <v/>
      </c>
      <c r="B8" s="2048"/>
      <c r="C8" s="412"/>
      <c r="D8" s="2049"/>
      <c r="E8" s="1750"/>
      <c r="F8" s="1750"/>
      <c r="G8" s="1750"/>
      <c r="H8" s="1750"/>
      <c r="I8" s="1750"/>
      <c r="J8" s="1750"/>
      <c r="K8" s="1750"/>
      <c r="L8" s="1750"/>
      <c r="M8" s="1750"/>
      <c r="N8" s="1750"/>
      <c r="O8" s="1750"/>
      <c r="P8" s="1814"/>
      <c r="Q8" s="412"/>
      <c r="R8" s="2054" t="str">
        <f>+'SP1'!$U$6</f>
        <v/>
      </c>
      <c r="S8" s="1861"/>
      <c r="T8" s="1861"/>
      <c r="U8" s="1861"/>
      <c r="V8" s="1861"/>
      <c r="W8" s="1861"/>
      <c r="X8" s="1861"/>
      <c r="Y8" s="1861"/>
      <c r="Z8" s="1861"/>
      <c r="AA8" s="1861"/>
      <c r="AB8" s="1861"/>
      <c r="AC8" s="1861"/>
      <c r="AD8" s="1861"/>
      <c r="AE8" s="1050"/>
    </row>
    <row r="9" spans="1:71" ht="15" customHeight="1">
      <c r="A9" s="412"/>
      <c r="B9" s="412"/>
      <c r="C9" s="412"/>
      <c r="D9" s="2050"/>
      <c r="E9" s="1229"/>
      <c r="F9" s="1229"/>
      <c r="G9" s="1229"/>
      <c r="H9" s="1229"/>
      <c r="I9" s="1229"/>
      <c r="J9" s="1229"/>
      <c r="K9" s="1229"/>
      <c r="L9" s="1229"/>
      <c r="M9" s="1229"/>
      <c r="N9" s="1229"/>
      <c r="O9" s="1229"/>
      <c r="P9" s="1968"/>
      <c r="Q9" s="412"/>
      <c r="R9" s="412"/>
      <c r="S9" s="412"/>
      <c r="T9" s="412"/>
      <c r="U9" s="412"/>
      <c r="V9" s="412"/>
      <c r="W9" s="412"/>
      <c r="X9" s="412"/>
      <c r="Y9" s="412"/>
      <c r="Z9" s="412"/>
      <c r="AA9" s="412"/>
      <c r="AB9" s="412"/>
      <c r="AC9" s="412"/>
      <c r="AD9" s="412"/>
      <c r="AE9" s="412"/>
    </row>
    <row r="10" spans="1:71" ht="15" customHeight="1">
      <c r="A10" s="412"/>
      <c r="B10" s="412"/>
      <c r="C10" s="412"/>
      <c r="D10" s="2051"/>
      <c r="E10" s="1801"/>
      <c r="F10" s="1801"/>
      <c r="G10" s="1801"/>
      <c r="H10" s="1801"/>
      <c r="I10" s="1801"/>
      <c r="J10" s="1801"/>
      <c r="K10" s="1801"/>
      <c r="L10" s="1801"/>
      <c r="M10" s="1801"/>
      <c r="N10" s="1801"/>
      <c r="O10" s="1801"/>
      <c r="P10" s="1812"/>
      <c r="Q10" s="412"/>
      <c r="R10" s="412"/>
      <c r="S10" s="412"/>
      <c r="T10" s="412"/>
      <c r="U10" s="412"/>
      <c r="V10" s="412"/>
      <c r="W10" s="412"/>
      <c r="X10" s="412"/>
      <c r="Y10" s="412"/>
      <c r="Z10" s="412"/>
      <c r="AA10" s="412"/>
      <c r="AB10" s="412"/>
      <c r="AC10" s="412"/>
      <c r="AD10" s="412"/>
      <c r="AE10" s="412"/>
    </row>
    <row r="11" spans="1:71">
      <c r="A11" s="1853"/>
      <c r="B11" s="1352"/>
      <c r="C11" s="1352"/>
      <c r="D11" s="1352"/>
      <c r="E11" s="1352"/>
      <c r="F11" s="1352"/>
      <c r="G11" s="1352"/>
      <c r="H11" s="1352"/>
      <c r="I11" s="1352"/>
      <c r="J11" s="1352"/>
      <c r="K11" s="1352"/>
      <c r="L11" s="1352"/>
      <c r="M11" s="1352"/>
      <c r="N11" s="1352"/>
      <c r="O11" s="1352"/>
      <c r="P11" s="1352"/>
      <c r="Q11" s="1352"/>
      <c r="R11" s="1352"/>
      <c r="S11" s="1352"/>
      <c r="T11" s="1352"/>
      <c r="U11" s="1352"/>
      <c r="V11" s="1352"/>
      <c r="W11" s="1352"/>
      <c r="X11" s="1352"/>
      <c r="Y11" s="1352"/>
      <c r="Z11" s="1352"/>
      <c r="AA11" s="1352"/>
      <c r="AB11" s="1352"/>
      <c r="AC11" s="1352"/>
      <c r="AD11" s="1352"/>
      <c r="AE11" s="1352"/>
    </row>
    <row r="12" spans="1:71" s="334" customFormat="1" ht="18" customHeight="1">
      <c r="A12" s="2018" t="s">
        <v>3685</v>
      </c>
      <c r="B12" s="2019"/>
      <c r="C12" s="2019"/>
      <c r="D12" s="2019"/>
      <c r="E12" s="2019"/>
      <c r="F12" s="2019"/>
      <c r="G12" s="2019"/>
      <c r="H12" s="2019"/>
      <c r="I12" s="2019"/>
      <c r="J12" s="2019"/>
      <c r="K12" s="2019"/>
      <c r="L12" s="2019"/>
      <c r="M12" s="2019"/>
      <c r="N12" s="2019"/>
      <c r="O12" s="2019"/>
      <c r="P12" s="2019"/>
      <c r="Q12" s="2019"/>
      <c r="R12" s="2019"/>
      <c r="S12" s="2019"/>
      <c r="T12" s="2019"/>
      <c r="U12" s="2019"/>
      <c r="V12" s="2019"/>
      <c r="W12" s="2019"/>
      <c r="X12" s="2019"/>
      <c r="Y12" s="2019"/>
      <c r="Z12" s="2019"/>
      <c r="AA12" s="2019"/>
      <c r="AB12" s="2019"/>
      <c r="AC12" s="2019"/>
      <c r="AD12" s="2019"/>
      <c r="AE12" s="2020"/>
      <c r="AF12" s="434"/>
      <c r="AG12" s="434"/>
      <c r="AH12" s="434"/>
      <c r="AI12" s="434"/>
      <c r="AJ12" s="434"/>
      <c r="AK12" s="434"/>
      <c r="AL12" s="434"/>
      <c r="AM12" s="434"/>
      <c r="AN12" s="434"/>
      <c r="AO12" s="434"/>
      <c r="AP12" s="434"/>
      <c r="AQ12" s="434"/>
      <c r="AR12" s="434"/>
      <c r="AS12" s="434"/>
      <c r="AT12" s="434"/>
      <c r="AU12" s="434"/>
      <c r="AV12" s="434"/>
      <c r="AW12" s="434"/>
      <c r="AX12" s="434"/>
      <c r="AY12" s="434"/>
      <c r="AZ12" s="434"/>
      <c r="BA12" s="434"/>
      <c r="BB12" s="434"/>
      <c r="BC12" s="434"/>
      <c r="BD12" s="434"/>
      <c r="BE12" s="434"/>
      <c r="BF12" s="434"/>
      <c r="BG12" s="434"/>
      <c r="BH12" s="434"/>
      <c r="BI12" s="434"/>
      <c r="BJ12" s="434"/>
      <c r="BK12" s="434"/>
      <c r="BL12" s="434"/>
      <c r="BM12" s="434"/>
      <c r="BN12" s="434"/>
      <c r="BO12" s="434"/>
      <c r="BP12" s="434"/>
      <c r="BQ12" s="434"/>
      <c r="BR12" s="434"/>
      <c r="BS12" s="434"/>
    </row>
    <row r="13" spans="1:71">
      <c r="A13" s="420"/>
      <c r="B13" s="421" t="s">
        <v>98</v>
      </c>
      <c r="C13" s="421"/>
      <c r="D13" s="2036" t="s">
        <v>97</v>
      </c>
      <c r="E13" s="2037"/>
      <c r="F13" s="2037"/>
      <c r="G13" s="2037"/>
      <c r="H13" s="2037"/>
      <c r="I13" s="2037"/>
      <c r="J13" s="421"/>
      <c r="K13" s="2036" t="s">
        <v>116</v>
      </c>
      <c r="L13" s="2037"/>
      <c r="M13" s="2037"/>
      <c r="N13" s="2037"/>
      <c r="O13" s="2037"/>
      <c r="P13" s="2037"/>
      <c r="Q13" s="421"/>
      <c r="R13" s="2036" t="s">
        <v>275</v>
      </c>
      <c r="S13" s="2037"/>
      <c r="T13" s="2037"/>
      <c r="U13" s="2037"/>
      <c r="V13" s="2037"/>
      <c r="W13" s="2037"/>
      <c r="X13" s="421"/>
      <c r="Y13" s="2036" t="s">
        <v>148</v>
      </c>
      <c r="Z13" s="2037"/>
      <c r="AA13" s="2037"/>
      <c r="AB13" s="2037"/>
      <c r="AC13" s="2037"/>
      <c r="AD13" s="2037"/>
      <c r="AE13" s="422"/>
    </row>
    <row r="14" spans="1:71" ht="18" customHeight="1">
      <c r="A14" s="420"/>
      <c r="B14" s="629" t="str">
        <f>+CONCATENATE('SP1'!$A$10)</f>
        <v>0</v>
      </c>
      <c r="C14" s="413"/>
      <c r="D14" s="2035" t="str">
        <f>+CONCATENATE('SP1'!$H$10)</f>
        <v>0</v>
      </c>
      <c r="E14" s="1771"/>
      <c r="F14" s="1771"/>
      <c r="G14" s="1771"/>
      <c r="H14" s="1771"/>
      <c r="I14" s="1883"/>
      <c r="J14" s="423"/>
      <c r="K14" s="2038" t="str">
        <f>+CONCATENATE('SP1'!$Q$10)</f>
        <v/>
      </c>
      <c r="L14" s="1809"/>
      <c r="M14" s="1809"/>
      <c r="N14" s="1809"/>
      <c r="O14" s="1809"/>
      <c r="P14" s="2039"/>
      <c r="Q14" s="423"/>
      <c r="R14" s="2040">
        <f>+'SP1'!$A$12</f>
        <v>0</v>
      </c>
      <c r="S14" s="1944"/>
      <c r="T14" s="1944"/>
      <c r="U14" s="1944"/>
      <c r="V14" s="1944"/>
      <c r="W14" s="2041"/>
      <c r="X14" s="423"/>
      <c r="Y14" s="2042" t="str">
        <f>+'SP1'!$Y$10</f>
        <v/>
      </c>
      <c r="Z14" s="1861"/>
      <c r="AA14" s="1861"/>
      <c r="AB14" s="1861"/>
      <c r="AC14" s="1861"/>
      <c r="AD14" s="1050"/>
      <c r="AE14" s="424"/>
    </row>
    <row r="15" spans="1:71" ht="5.0999999999999996" customHeight="1">
      <c r="A15" s="425"/>
      <c r="B15" s="426"/>
      <c r="C15" s="426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  <c r="AA15" s="426"/>
      <c r="AB15" s="426"/>
      <c r="AC15" s="426"/>
      <c r="AD15" s="426"/>
      <c r="AE15" s="427"/>
    </row>
    <row r="16" spans="1:71" ht="18" customHeight="1">
      <c r="A16" s="2018" t="s">
        <v>3688</v>
      </c>
      <c r="B16" s="2019"/>
      <c r="C16" s="2019"/>
      <c r="D16" s="2019"/>
      <c r="E16" s="2019"/>
      <c r="F16" s="2019"/>
      <c r="G16" s="2019"/>
      <c r="H16" s="2019"/>
      <c r="I16" s="2019"/>
      <c r="J16" s="2019"/>
      <c r="K16" s="2019"/>
      <c r="L16" s="2019"/>
      <c r="M16" s="2019"/>
      <c r="N16" s="2019"/>
      <c r="O16" s="2019"/>
      <c r="P16" s="2019"/>
      <c r="Q16" s="2019"/>
      <c r="R16" s="2019"/>
      <c r="S16" s="2019"/>
      <c r="T16" s="2019"/>
      <c r="U16" s="2019"/>
      <c r="V16" s="2019"/>
      <c r="W16" s="2019"/>
      <c r="X16" s="2019"/>
      <c r="Y16" s="2019"/>
      <c r="Z16" s="2019"/>
      <c r="AA16" s="2019"/>
      <c r="AB16" s="2019"/>
      <c r="AC16" s="2019"/>
      <c r="AD16" s="2019"/>
      <c r="AE16" s="2020"/>
    </row>
    <row r="17" spans="1:31">
      <c r="A17" s="420"/>
      <c r="B17" s="2043" t="s">
        <v>3689</v>
      </c>
      <c r="C17" s="1229"/>
      <c r="D17" s="1229"/>
      <c r="E17" s="1229"/>
      <c r="F17" s="1229"/>
      <c r="G17" s="1229"/>
      <c r="H17" s="1229"/>
      <c r="I17" s="1229"/>
      <c r="J17" s="1229"/>
      <c r="K17" s="1229"/>
      <c r="L17" s="1229"/>
      <c r="M17" s="1229"/>
      <c r="N17" s="1229"/>
      <c r="O17" s="1229"/>
      <c r="P17" s="1229"/>
      <c r="Q17" s="1229"/>
      <c r="R17" s="1229"/>
      <c r="S17" s="1229"/>
      <c r="T17" s="1229"/>
      <c r="U17" s="1229"/>
      <c r="V17" s="1229"/>
      <c r="W17" s="1229"/>
      <c r="X17" s="1229"/>
      <c r="Y17" s="1229"/>
      <c r="Z17" s="1229"/>
      <c r="AA17" s="1229"/>
      <c r="AB17" s="1229"/>
      <c r="AC17" s="1229"/>
      <c r="AD17" s="1229"/>
      <c r="AE17" s="424"/>
    </row>
    <row r="18" spans="1:31" ht="18" customHeight="1">
      <c r="A18" s="420"/>
      <c r="B18" s="2044"/>
      <c r="C18" s="1809"/>
      <c r="D18" s="1809"/>
      <c r="E18" s="1809"/>
      <c r="F18" s="1809"/>
      <c r="G18" s="1809"/>
      <c r="H18" s="1809"/>
      <c r="I18" s="1809"/>
      <c r="J18" s="1809"/>
      <c r="K18" s="1809"/>
      <c r="L18" s="1809"/>
      <c r="M18" s="1809"/>
      <c r="N18" s="1809"/>
      <c r="O18" s="1809"/>
      <c r="P18" s="1809"/>
      <c r="Q18" s="1809"/>
      <c r="R18" s="1809"/>
      <c r="S18" s="1809"/>
      <c r="T18" s="1809"/>
      <c r="U18" s="1809"/>
      <c r="V18" s="1809"/>
      <c r="W18" s="1809"/>
      <c r="X18" s="1809"/>
      <c r="Y18" s="1809"/>
      <c r="Z18" s="1809"/>
      <c r="AA18" s="1809"/>
      <c r="AB18" s="1809"/>
      <c r="AC18" s="1809"/>
      <c r="AD18" s="2039"/>
      <c r="AE18" s="424"/>
    </row>
    <row r="19" spans="1:31" ht="5.0999999999999996" customHeight="1">
      <c r="A19" s="420"/>
      <c r="B19" s="2043"/>
      <c r="C19" s="1229"/>
      <c r="D19" s="1229"/>
      <c r="E19" s="1229"/>
      <c r="F19" s="1229"/>
      <c r="G19" s="1229"/>
      <c r="H19" s="1229"/>
      <c r="I19" s="1229"/>
      <c r="J19" s="1229"/>
      <c r="K19" s="1229"/>
      <c r="L19" s="1229"/>
      <c r="M19" s="1229"/>
      <c r="N19" s="1229"/>
      <c r="O19" s="1229"/>
      <c r="P19" s="1229"/>
      <c r="Q19" s="1229"/>
      <c r="R19" s="1229"/>
      <c r="S19" s="1229"/>
      <c r="T19" s="1229"/>
      <c r="U19" s="1229"/>
      <c r="V19" s="1229"/>
      <c r="W19" s="1229"/>
      <c r="X19" s="1229"/>
      <c r="Y19" s="1229"/>
      <c r="Z19" s="1229"/>
      <c r="AA19" s="1229"/>
      <c r="AB19" s="1229"/>
      <c r="AC19" s="1229"/>
      <c r="AD19" s="1229"/>
      <c r="AE19" s="424"/>
    </row>
    <row r="20" spans="1:31" ht="18" customHeight="1">
      <c r="A20" s="420"/>
      <c r="B20" s="2016" t="s">
        <v>3690</v>
      </c>
      <c r="C20" s="1684"/>
      <c r="D20" s="1684"/>
      <c r="E20" s="1684"/>
      <c r="F20" s="2017"/>
      <c r="G20" s="2030">
        <f>+'DAP1'!F24</f>
        <v>2021</v>
      </c>
      <c r="H20" s="2031"/>
      <c r="I20" s="2031"/>
      <c r="J20" s="2032"/>
      <c r="K20" s="2007"/>
      <c r="L20" s="2006"/>
      <c r="M20" s="2006"/>
      <c r="N20" s="2006"/>
      <c r="O20" s="2006"/>
      <c r="P20" s="2006"/>
      <c r="Q20" s="2006"/>
      <c r="R20" s="2006"/>
      <c r="S20" s="2006"/>
      <c r="T20" s="2006"/>
      <c r="U20" s="2006"/>
      <c r="V20" s="2006"/>
      <c r="W20" s="2006"/>
      <c r="X20" s="2006"/>
      <c r="Y20" s="2006"/>
      <c r="Z20" s="2006"/>
      <c r="AA20" s="2006"/>
      <c r="AB20" s="2006"/>
      <c r="AC20" s="2006"/>
      <c r="AD20" s="2006"/>
      <c r="AE20" s="2017"/>
    </row>
    <row r="21" spans="1:31">
      <c r="A21" s="420"/>
      <c r="B21" s="423"/>
      <c r="C21" s="423"/>
      <c r="D21" s="423"/>
      <c r="E21" s="428">
        <v>1</v>
      </c>
      <c r="F21" s="423"/>
      <c r="G21" s="428">
        <v>2</v>
      </c>
      <c r="H21" s="423"/>
      <c r="I21" s="428">
        <v>3</v>
      </c>
      <c r="J21" s="423"/>
      <c r="K21" s="428">
        <v>4</v>
      </c>
      <c r="L21" s="423"/>
      <c r="M21" s="428">
        <v>5</v>
      </c>
      <c r="N21" s="423"/>
      <c r="O21" s="428">
        <v>6</v>
      </c>
      <c r="P21" s="423"/>
      <c r="Q21" s="428">
        <v>7</v>
      </c>
      <c r="R21" s="423"/>
      <c r="S21" s="428">
        <v>8</v>
      </c>
      <c r="T21" s="423"/>
      <c r="U21" s="428">
        <v>9</v>
      </c>
      <c r="V21" s="423"/>
      <c r="W21" s="428">
        <v>10</v>
      </c>
      <c r="X21" s="423"/>
      <c r="Y21" s="428">
        <v>11</v>
      </c>
      <c r="Z21" s="423"/>
      <c r="AA21" s="428">
        <v>12</v>
      </c>
      <c r="AB21" s="2033" t="s">
        <v>3687</v>
      </c>
      <c r="AC21" s="2034"/>
      <c r="AD21" s="2034"/>
      <c r="AE21" s="424"/>
    </row>
    <row r="22" spans="1:31" ht="18" customHeight="1">
      <c r="A22" s="420"/>
      <c r="B22" s="429" t="s">
        <v>3686</v>
      </c>
      <c r="C22" s="423"/>
      <c r="D22" s="423"/>
      <c r="E22" s="430"/>
      <c r="F22" s="423"/>
      <c r="G22" s="430"/>
      <c r="H22" s="423"/>
      <c r="I22" s="430"/>
      <c r="J22" s="423"/>
      <c r="K22" s="430"/>
      <c r="L22" s="423"/>
      <c r="M22" s="430"/>
      <c r="N22" s="423"/>
      <c r="O22" s="430"/>
      <c r="P22" s="423"/>
      <c r="Q22" s="430"/>
      <c r="R22" s="423"/>
      <c r="S22" s="430"/>
      <c r="T22" s="423"/>
      <c r="U22" s="430"/>
      <c r="V22" s="423"/>
      <c r="W22" s="430"/>
      <c r="X22" s="423"/>
      <c r="Y22" s="430"/>
      <c r="Z22" s="423"/>
      <c r="AA22" s="430"/>
      <c r="AB22" s="423"/>
      <c r="AC22" s="430"/>
      <c r="AD22" s="423"/>
      <c r="AE22" s="424"/>
    </row>
    <row r="23" spans="1:31" ht="5.0999999999999996" customHeight="1">
      <c r="A23" s="425"/>
      <c r="B23" s="426"/>
      <c r="C23" s="426"/>
      <c r="D23" s="426"/>
      <c r="E23" s="426"/>
      <c r="F23" s="426"/>
      <c r="G23" s="426"/>
      <c r="H23" s="426"/>
      <c r="I23" s="426"/>
      <c r="J23" s="426"/>
      <c r="K23" s="426"/>
      <c r="L23" s="426"/>
      <c r="M23" s="426"/>
      <c r="N23" s="426"/>
      <c r="O23" s="426"/>
      <c r="P23" s="426"/>
      <c r="Q23" s="426"/>
      <c r="R23" s="426"/>
      <c r="S23" s="426"/>
      <c r="T23" s="426"/>
      <c r="U23" s="426"/>
      <c r="V23" s="426"/>
      <c r="W23" s="426"/>
      <c r="X23" s="426"/>
      <c r="Y23" s="426"/>
      <c r="Z23" s="426"/>
      <c r="AA23" s="426"/>
      <c r="AB23" s="426"/>
      <c r="AC23" s="426"/>
      <c r="AD23" s="426"/>
      <c r="AE23" s="427"/>
    </row>
    <row r="24" spans="1:31" ht="18" customHeight="1">
      <c r="A24" s="2018" t="s">
        <v>3691</v>
      </c>
      <c r="B24" s="2019"/>
      <c r="C24" s="2019"/>
      <c r="D24" s="2019"/>
      <c r="E24" s="2019"/>
      <c r="F24" s="2019"/>
      <c r="G24" s="2019"/>
      <c r="H24" s="2019"/>
      <c r="I24" s="2019"/>
      <c r="J24" s="2019"/>
      <c r="K24" s="2019"/>
      <c r="L24" s="2019"/>
      <c r="M24" s="2019"/>
      <c r="N24" s="2019"/>
      <c r="O24" s="2019"/>
      <c r="P24" s="2019"/>
      <c r="Q24" s="2019"/>
      <c r="R24" s="2019"/>
      <c r="S24" s="2019"/>
      <c r="T24" s="2019"/>
      <c r="U24" s="2019"/>
      <c r="V24" s="2019"/>
      <c r="W24" s="2019"/>
      <c r="X24" s="2019"/>
      <c r="Y24" s="2019"/>
      <c r="Z24" s="2019"/>
      <c r="AA24" s="2019"/>
      <c r="AB24" s="2019"/>
      <c r="AC24" s="2019"/>
      <c r="AD24" s="2019"/>
      <c r="AE24" s="2020"/>
    </row>
    <row r="25" spans="1:31" ht="60" customHeight="1">
      <c r="A25" s="2029"/>
      <c r="B25" s="1229"/>
      <c r="C25" s="1229"/>
      <c r="D25" s="1229"/>
      <c r="E25" s="1229"/>
      <c r="F25" s="1229"/>
      <c r="G25" s="1229"/>
      <c r="H25" s="1229"/>
      <c r="I25" s="1229"/>
      <c r="J25" s="1229"/>
      <c r="K25" s="1229"/>
      <c r="L25" s="1229"/>
      <c r="M25" s="1229"/>
      <c r="N25" s="1229"/>
      <c r="O25" s="1229"/>
      <c r="P25" s="1229"/>
      <c r="Q25" s="1229"/>
      <c r="R25" s="1229"/>
      <c r="S25" s="1229"/>
      <c r="T25" s="2024"/>
      <c r="U25" s="2025"/>
      <c r="V25" s="2025"/>
      <c r="W25" s="2025"/>
      <c r="X25" s="2025"/>
      <c r="Y25" s="2025"/>
      <c r="Z25" s="2025"/>
      <c r="AA25" s="2025"/>
      <c r="AB25" s="2025"/>
      <c r="AC25" s="2025"/>
      <c r="AD25" s="2025"/>
      <c r="AE25" s="424"/>
    </row>
    <row r="26" spans="1:31" ht="18" customHeight="1">
      <c r="A26" s="420"/>
      <c r="B26" s="429" t="s">
        <v>360</v>
      </c>
      <c r="C26" s="2021">
        <f ca="1">+TODAY()</f>
        <v>44720</v>
      </c>
      <c r="D26" s="2022"/>
      <c r="E26" s="2022"/>
      <c r="F26" s="2022"/>
      <c r="G26" s="2023"/>
      <c r="H26" s="1229"/>
      <c r="I26" s="1229"/>
      <c r="J26" s="1229"/>
      <c r="K26" s="1229"/>
      <c r="L26" s="1229"/>
      <c r="M26" s="1229"/>
      <c r="N26" s="1229"/>
      <c r="O26" s="1229"/>
      <c r="P26" s="1229"/>
      <c r="Q26" s="1229"/>
      <c r="R26" s="1229"/>
      <c r="S26" s="1229"/>
      <c r="T26" s="2026"/>
      <c r="U26" s="2026"/>
      <c r="V26" s="2026"/>
      <c r="W26" s="2026"/>
      <c r="X26" s="2026"/>
      <c r="Y26" s="2026"/>
      <c r="Z26" s="2026"/>
      <c r="AA26" s="2026"/>
      <c r="AB26" s="2026"/>
      <c r="AC26" s="2026"/>
      <c r="AD26" s="2026"/>
      <c r="AE26" s="424"/>
    </row>
    <row r="27" spans="1:31">
      <c r="A27" s="420"/>
      <c r="B27" s="423"/>
      <c r="C27" s="423"/>
      <c r="D27" s="423"/>
      <c r="E27" s="423"/>
      <c r="F27" s="423"/>
      <c r="G27" s="423"/>
      <c r="H27" s="423"/>
      <c r="I27" s="423"/>
      <c r="J27" s="423"/>
      <c r="K27" s="423"/>
      <c r="L27" s="423"/>
      <c r="M27" s="423"/>
      <c r="N27" s="423"/>
      <c r="O27" s="423"/>
      <c r="P27" s="423"/>
      <c r="Q27" s="423"/>
      <c r="R27" s="423"/>
      <c r="S27" s="423"/>
      <c r="T27" s="2027" t="s">
        <v>361</v>
      </c>
      <c r="U27" s="2028"/>
      <c r="V27" s="2028"/>
      <c r="W27" s="2028"/>
      <c r="X27" s="2028"/>
      <c r="Y27" s="2028"/>
      <c r="Z27" s="2028"/>
      <c r="AA27" s="2028"/>
      <c r="AB27" s="2028"/>
      <c r="AC27" s="2028"/>
      <c r="AD27" s="2028"/>
      <c r="AE27" s="424"/>
    </row>
    <row r="28" spans="1:31" ht="5.0999999999999996" customHeight="1">
      <c r="A28" s="425"/>
      <c r="B28" s="426"/>
      <c r="C28" s="426"/>
      <c r="D28" s="426"/>
      <c r="E28" s="426"/>
      <c r="F28" s="426"/>
      <c r="G28" s="426"/>
      <c r="H28" s="426"/>
      <c r="I28" s="426"/>
      <c r="J28" s="426"/>
      <c r="K28" s="426"/>
      <c r="L28" s="426"/>
      <c r="M28" s="426"/>
      <c r="N28" s="426"/>
      <c r="O28" s="426"/>
      <c r="P28" s="426"/>
      <c r="Q28" s="426"/>
      <c r="R28" s="426"/>
      <c r="S28" s="426"/>
      <c r="T28" s="426"/>
      <c r="U28" s="426"/>
      <c r="V28" s="426"/>
      <c r="W28" s="426"/>
      <c r="X28" s="426"/>
      <c r="Y28" s="426"/>
      <c r="Z28" s="426"/>
      <c r="AA28" s="426"/>
      <c r="AB28" s="426"/>
      <c r="AC28" s="426"/>
      <c r="AD28" s="426"/>
      <c r="AE28" s="427"/>
    </row>
    <row r="29" spans="1:31" ht="28.5" customHeight="1">
      <c r="A29" s="431"/>
      <c r="B29" s="2010" t="s">
        <v>3692</v>
      </c>
      <c r="C29" s="2011"/>
      <c r="D29" s="2011"/>
      <c r="E29" s="2011"/>
      <c r="F29" s="2011"/>
      <c r="G29" s="2011"/>
      <c r="H29" s="2011"/>
      <c r="I29" s="2011"/>
      <c r="J29" s="2011"/>
      <c r="K29" s="2011"/>
      <c r="L29" s="2011"/>
      <c r="M29" s="2011"/>
      <c r="N29" s="2011"/>
      <c r="O29" s="2011"/>
      <c r="P29" s="2011"/>
      <c r="Q29" s="2011"/>
      <c r="R29" s="2011"/>
      <c r="S29" s="2011"/>
      <c r="T29" s="2011"/>
      <c r="U29" s="2011"/>
      <c r="V29" s="2011"/>
      <c r="W29" s="2011"/>
      <c r="X29" s="2011"/>
      <c r="Y29" s="2011"/>
      <c r="Z29" s="2011"/>
      <c r="AA29" s="2011"/>
      <c r="AB29" s="2011"/>
      <c r="AC29" s="2011"/>
      <c r="AD29" s="2011"/>
      <c r="AE29" s="432"/>
    </row>
    <row r="30" spans="1:31">
      <c r="A30" s="2012"/>
      <c r="B30" s="1801"/>
      <c r="C30" s="1801"/>
      <c r="D30" s="1801"/>
      <c r="E30" s="1801"/>
      <c r="F30" s="1801"/>
      <c r="G30" s="1801"/>
      <c r="H30" s="1801"/>
      <c r="I30" s="1801"/>
      <c r="J30" s="1801"/>
      <c r="K30" s="1801"/>
      <c r="L30" s="1801"/>
      <c r="M30" s="1801"/>
      <c r="N30" s="1801"/>
      <c r="O30" s="1801"/>
      <c r="P30" s="1801"/>
      <c r="Q30" s="1801"/>
      <c r="R30" s="1801"/>
      <c r="S30" s="1801"/>
      <c r="T30" s="1801"/>
      <c r="U30" s="1801"/>
      <c r="V30" s="1801"/>
      <c r="W30" s="1801"/>
      <c r="X30" s="1801"/>
      <c r="Y30" s="1801"/>
      <c r="Z30" s="1801"/>
      <c r="AA30" s="2013" t="s">
        <v>3693</v>
      </c>
      <c r="AB30" s="2014"/>
      <c r="AC30" s="2014"/>
      <c r="AD30" s="2014"/>
      <c r="AE30" s="2015"/>
    </row>
    <row r="31" spans="1:31" s="433" customFormat="1">
      <c r="A31" s="435"/>
      <c r="B31" s="435"/>
      <c r="C31" s="435"/>
      <c r="D31" s="435"/>
      <c r="E31" s="435"/>
      <c r="F31" s="435"/>
      <c r="G31" s="435"/>
      <c r="H31" s="435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5"/>
      <c r="Y31" s="435"/>
      <c r="Z31" s="435"/>
      <c r="AA31" s="435"/>
      <c r="AB31" s="435"/>
      <c r="AC31" s="435"/>
      <c r="AD31" s="435"/>
      <c r="AE31" s="435"/>
    </row>
    <row r="32" spans="1:31" s="433" customFormat="1">
      <c r="A32" s="435"/>
      <c r="B32" s="435"/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435"/>
    </row>
    <row r="33" spans="1:31" s="433" customFormat="1">
      <c r="A33" s="435"/>
      <c r="B33" s="435"/>
      <c r="C33" s="435"/>
      <c r="D33" s="435"/>
      <c r="E33" s="435"/>
      <c r="F33" s="435"/>
      <c r="G33" s="435"/>
      <c r="H33" s="435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5"/>
      <c r="Y33" s="435"/>
      <c r="Z33" s="435"/>
      <c r="AA33" s="435"/>
      <c r="AB33" s="435"/>
      <c r="AC33" s="435"/>
      <c r="AD33" s="435"/>
      <c r="AE33" s="435"/>
    </row>
    <row r="34" spans="1:31" s="433" customFormat="1">
      <c r="A34" s="435"/>
      <c r="B34" s="435"/>
      <c r="C34" s="435"/>
      <c r="D34" s="435"/>
      <c r="E34" s="435"/>
      <c r="F34" s="435"/>
      <c r="G34" s="435"/>
      <c r="H34" s="435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5"/>
      <c r="Y34" s="435"/>
      <c r="Z34" s="435"/>
      <c r="AA34" s="435"/>
      <c r="AB34" s="435"/>
      <c r="AC34" s="435"/>
      <c r="AD34" s="435"/>
      <c r="AE34" s="435"/>
    </row>
    <row r="35" spans="1:31" s="433" customFormat="1">
      <c r="A35" s="435"/>
      <c r="B35" s="435"/>
      <c r="C35" s="435"/>
      <c r="D35" s="435"/>
      <c r="E35" s="435"/>
      <c r="F35" s="435"/>
      <c r="G35" s="435"/>
      <c r="H35" s="435"/>
      <c r="I35" s="435"/>
      <c r="J35" s="435"/>
      <c r="K35" s="435"/>
      <c r="L35" s="435"/>
      <c r="M35" s="435"/>
      <c r="N35" s="435"/>
      <c r="O35" s="435"/>
      <c r="P35" s="435"/>
      <c r="Q35" s="435"/>
      <c r="R35" s="435"/>
      <c r="S35" s="435"/>
      <c r="T35" s="435"/>
      <c r="U35" s="435"/>
      <c r="V35" s="435"/>
      <c r="W35" s="435"/>
      <c r="X35" s="435"/>
      <c r="Y35" s="435"/>
      <c r="Z35" s="435"/>
      <c r="AA35" s="435"/>
      <c r="AB35" s="435"/>
      <c r="AC35" s="435"/>
      <c r="AD35" s="435"/>
      <c r="AE35" s="435"/>
    </row>
    <row r="36" spans="1:31" s="433" customFormat="1">
      <c r="A36" s="435"/>
      <c r="B36" s="435"/>
      <c r="C36" s="435"/>
      <c r="D36" s="435"/>
      <c r="E36" s="435"/>
      <c r="F36" s="435"/>
      <c r="G36" s="435"/>
      <c r="H36" s="435"/>
      <c r="I36" s="435"/>
      <c r="J36" s="435"/>
      <c r="K36" s="435"/>
      <c r="L36" s="435"/>
      <c r="M36" s="435"/>
      <c r="N36" s="435"/>
      <c r="O36" s="435"/>
      <c r="P36" s="435"/>
      <c r="Q36" s="435"/>
      <c r="R36" s="435"/>
      <c r="S36" s="435"/>
      <c r="T36" s="435"/>
      <c r="U36" s="435"/>
      <c r="V36" s="435"/>
      <c r="W36" s="435"/>
      <c r="X36" s="435"/>
      <c r="Y36" s="435"/>
      <c r="Z36" s="435"/>
      <c r="AA36" s="435"/>
      <c r="AB36" s="435"/>
      <c r="AC36" s="435"/>
      <c r="AD36" s="435"/>
      <c r="AE36" s="435"/>
    </row>
    <row r="37" spans="1:31" s="433" customFormat="1">
      <c r="A37" s="435"/>
      <c r="B37" s="435"/>
      <c r="C37" s="435"/>
      <c r="D37" s="435"/>
      <c r="E37" s="435"/>
      <c r="F37" s="435"/>
      <c r="G37" s="435"/>
      <c r="H37" s="435"/>
      <c r="I37" s="435"/>
      <c r="J37" s="435"/>
      <c r="K37" s="435"/>
      <c r="L37" s="435"/>
      <c r="M37" s="435"/>
      <c r="N37" s="435"/>
      <c r="O37" s="435"/>
      <c r="P37" s="435"/>
      <c r="Q37" s="435"/>
      <c r="R37" s="435"/>
      <c r="S37" s="435"/>
      <c r="T37" s="435"/>
      <c r="U37" s="435"/>
      <c r="V37" s="435"/>
      <c r="W37" s="435"/>
      <c r="X37" s="435"/>
      <c r="Y37" s="435"/>
      <c r="Z37" s="435"/>
      <c r="AA37" s="435"/>
      <c r="AB37" s="435"/>
      <c r="AC37" s="435"/>
      <c r="AD37" s="435"/>
      <c r="AE37" s="435"/>
    </row>
    <row r="38" spans="1:31" s="433" customFormat="1">
      <c r="A38" s="435"/>
      <c r="B38" s="435"/>
      <c r="C38" s="435"/>
      <c r="D38" s="435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5"/>
      <c r="Q38" s="435"/>
      <c r="R38" s="435"/>
      <c r="S38" s="435"/>
      <c r="T38" s="435"/>
      <c r="U38" s="435"/>
      <c r="V38" s="435"/>
      <c r="W38" s="435"/>
      <c r="X38" s="435"/>
      <c r="Y38" s="435"/>
      <c r="Z38" s="435"/>
      <c r="AA38" s="435"/>
      <c r="AB38" s="435"/>
      <c r="AC38" s="435"/>
      <c r="AD38" s="435"/>
      <c r="AE38" s="435"/>
    </row>
    <row r="39" spans="1:31" s="433" customFormat="1">
      <c r="A39" s="435"/>
      <c r="B39" s="435"/>
      <c r="C39" s="435"/>
      <c r="D39" s="435"/>
      <c r="E39" s="435"/>
      <c r="F39" s="435"/>
      <c r="G39" s="435"/>
      <c r="H39" s="435"/>
      <c r="I39" s="435"/>
      <c r="J39" s="435"/>
      <c r="K39" s="435"/>
      <c r="L39" s="435"/>
      <c r="M39" s="435"/>
      <c r="N39" s="435"/>
      <c r="O39" s="435"/>
      <c r="P39" s="435"/>
      <c r="Q39" s="435"/>
      <c r="R39" s="435"/>
      <c r="S39" s="435"/>
      <c r="T39" s="435"/>
      <c r="U39" s="435"/>
      <c r="V39" s="435"/>
      <c r="W39" s="435"/>
      <c r="X39" s="435"/>
      <c r="Y39" s="435"/>
      <c r="Z39" s="435"/>
      <c r="AA39" s="435"/>
      <c r="AB39" s="435"/>
      <c r="AC39" s="435"/>
      <c r="AD39" s="435"/>
      <c r="AE39" s="435"/>
    </row>
    <row r="40" spans="1:31" s="433" customFormat="1">
      <c r="A40" s="435"/>
      <c r="B40" s="435"/>
      <c r="C40" s="435"/>
      <c r="D40" s="435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5"/>
      <c r="Q40" s="435"/>
      <c r="R40" s="435"/>
      <c r="S40" s="435"/>
      <c r="T40" s="435"/>
      <c r="U40" s="435"/>
      <c r="V40" s="435"/>
      <c r="W40" s="435"/>
      <c r="X40" s="435"/>
      <c r="Y40" s="435"/>
      <c r="Z40" s="435"/>
      <c r="AA40" s="435"/>
      <c r="AB40" s="435"/>
      <c r="AC40" s="435"/>
      <c r="AD40" s="435"/>
      <c r="AE40" s="435"/>
    </row>
    <row r="41" spans="1:31" s="433" customFormat="1">
      <c r="A41" s="435"/>
      <c r="B41" s="435"/>
      <c r="C41" s="435"/>
      <c r="D41" s="435"/>
      <c r="E41" s="435"/>
      <c r="F41" s="435"/>
      <c r="G41" s="435"/>
      <c r="H41" s="435"/>
      <c r="I41" s="435"/>
      <c r="J41" s="435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5"/>
      <c r="Y41" s="435"/>
      <c r="Z41" s="435"/>
      <c r="AA41" s="435"/>
      <c r="AB41" s="435"/>
      <c r="AC41" s="435"/>
      <c r="AD41" s="435"/>
      <c r="AE41" s="435"/>
    </row>
    <row r="42" spans="1:31" s="433" customFormat="1">
      <c r="A42" s="435"/>
      <c r="B42" s="435"/>
      <c r="C42" s="435"/>
      <c r="D42" s="435"/>
      <c r="E42" s="435"/>
      <c r="F42" s="435"/>
      <c r="G42" s="435"/>
      <c r="H42" s="435"/>
      <c r="I42" s="435"/>
      <c r="J42" s="435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5"/>
      <c r="Y42" s="435"/>
      <c r="Z42" s="435"/>
      <c r="AA42" s="435"/>
      <c r="AB42" s="435"/>
      <c r="AC42" s="435"/>
      <c r="AD42" s="435"/>
      <c r="AE42" s="435"/>
    </row>
    <row r="43" spans="1:31" s="433" customFormat="1">
      <c r="A43" s="435"/>
      <c r="B43" s="435"/>
      <c r="C43" s="435"/>
      <c r="D43" s="435"/>
      <c r="E43" s="435"/>
      <c r="F43" s="435"/>
      <c r="G43" s="435"/>
      <c r="H43" s="435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5"/>
      <c r="Y43" s="435"/>
      <c r="Z43" s="435"/>
      <c r="AA43" s="435"/>
      <c r="AB43" s="435"/>
      <c r="AC43" s="435"/>
      <c r="AD43" s="435"/>
      <c r="AE43" s="435"/>
    </row>
    <row r="44" spans="1:31" s="433" customFormat="1">
      <c r="A44" s="435"/>
      <c r="B44" s="435"/>
      <c r="C44" s="435"/>
      <c r="D44" s="435"/>
      <c r="E44" s="435"/>
      <c r="F44" s="435"/>
      <c r="G44" s="435"/>
      <c r="H44" s="435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5"/>
      <c r="Y44" s="435"/>
      <c r="Z44" s="435"/>
      <c r="AA44" s="435"/>
      <c r="AB44" s="435"/>
      <c r="AC44" s="435"/>
      <c r="AD44" s="435"/>
      <c r="AE44" s="435"/>
    </row>
    <row r="45" spans="1:31" s="433" customFormat="1">
      <c r="A45" s="435"/>
      <c r="B45" s="435"/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5"/>
      <c r="Z45" s="435"/>
      <c r="AA45" s="435"/>
      <c r="AB45" s="435"/>
      <c r="AC45" s="435"/>
      <c r="AD45" s="435"/>
      <c r="AE45" s="435"/>
    </row>
    <row r="46" spans="1:31" s="433" customFormat="1">
      <c r="A46" s="435"/>
      <c r="B46" s="435"/>
      <c r="C46" s="435"/>
      <c r="D46" s="435"/>
      <c r="E46" s="435"/>
      <c r="F46" s="435"/>
      <c r="G46" s="435"/>
      <c r="H46" s="435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5"/>
      <c r="Y46" s="435"/>
      <c r="Z46" s="435"/>
      <c r="AA46" s="435"/>
      <c r="AB46" s="435"/>
      <c r="AC46" s="435"/>
      <c r="AD46" s="435"/>
      <c r="AE46" s="435"/>
    </row>
    <row r="47" spans="1:31" s="433" customFormat="1"/>
    <row r="48" spans="1:31" s="433" customFormat="1"/>
    <row r="49" s="433" customFormat="1"/>
    <row r="50" s="433" customFormat="1"/>
    <row r="51" s="433" customFormat="1"/>
    <row r="52" s="433" customFormat="1"/>
    <row r="53" s="433" customFormat="1"/>
    <row r="54" s="433" customFormat="1"/>
    <row r="55" s="433" customFormat="1"/>
    <row r="56" s="433" customFormat="1"/>
    <row r="57" s="433" customFormat="1"/>
    <row r="58" s="433" customFormat="1"/>
    <row r="59" s="433" customFormat="1"/>
    <row r="60" s="433" customFormat="1"/>
    <row r="61" s="433" customFormat="1"/>
    <row r="62" s="433" customFormat="1"/>
    <row r="63" s="433" customFormat="1"/>
    <row r="64" s="433" customFormat="1"/>
    <row r="65" s="433" customFormat="1"/>
    <row r="66" s="433" customFormat="1"/>
    <row r="67" s="433" customFormat="1"/>
    <row r="68" s="433" customFormat="1"/>
    <row r="69" s="433" customFormat="1"/>
    <row r="70" s="433" customFormat="1"/>
    <row r="71" s="433" customFormat="1"/>
    <row r="72" s="433" customFormat="1"/>
    <row r="73" s="433" customFormat="1"/>
    <row r="74" s="433" customFormat="1"/>
    <row r="75" s="433" customFormat="1"/>
    <row r="76" s="433" customFormat="1"/>
    <row r="77" s="433" customFormat="1"/>
    <row r="78" s="433" customFormat="1"/>
    <row r="79" s="433" customFormat="1"/>
    <row r="80" s="433" customFormat="1"/>
    <row r="81" s="433" customFormat="1"/>
    <row r="82" s="433" customFormat="1"/>
    <row r="83" s="433" customFormat="1"/>
    <row r="84" s="433" customFormat="1"/>
    <row r="85" s="433" customFormat="1"/>
    <row r="86" s="433" customFormat="1"/>
    <row r="87" s="433" customFormat="1"/>
    <row r="88" s="433" customFormat="1"/>
    <row r="89" s="433" customFormat="1"/>
    <row r="90" s="433" customFormat="1"/>
    <row r="91" s="433" customFormat="1"/>
    <row r="92" s="433" customFormat="1"/>
    <row r="93" s="433" customFormat="1"/>
    <row r="94" s="433" customFormat="1"/>
    <row r="95" s="433" customFormat="1"/>
    <row r="96" s="433" customFormat="1"/>
    <row r="97" spans="1:31" s="433" customFormat="1"/>
    <row r="98" spans="1:31" s="433" customFormat="1"/>
    <row r="99" spans="1:31" s="433" customFormat="1"/>
    <row r="100" spans="1:31" s="433" customFormat="1"/>
    <row r="101" spans="1:31" s="433" customFormat="1"/>
    <row r="102" spans="1:31">
      <c r="A102" s="418"/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418"/>
      <c r="N102" s="418"/>
      <c r="O102" s="418"/>
      <c r="P102" s="418"/>
      <c r="Q102" s="418"/>
      <c r="R102" s="418"/>
      <c r="S102" s="418"/>
      <c r="T102" s="418"/>
      <c r="U102" s="418"/>
      <c r="V102" s="418"/>
      <c r="W102" s="418"/>
      <c r="X102" s="418"/>
      <c r="Y102" s="418"/>
      <c r="Z102" s="418"/>
      <c r="AA102" s="418"/>
      <c r="AB102" s="418"/>
      <c r="AC102" s="418"/>
      <c r="AD102" s="418"/>
      <c r="AE102" s="418"/>
    </row>
  </sheetData>
  <sheetProtection algorithmName="SHA-512" hashValue="q5Eopw2H2jpHNWjkqzt98wh6qxLHldMrMgVa1Wnle2qIF7kBMh4zr9ZR3SzF2WCKpJAjBuWNdE3+qZPbV/9bxA==" saltValue="RZQtp3CKUe9tNipIOd+pbg==" spinCount="100000" sheet="1" objects="1" scenarios="1"/>
  <mergeCells count="39">
    <mergeCell ref="A6:AE6"/>
    <mergeCell ref="A1:B1"/>
    <mergeCell ref="A2:AE2"/>
    <mergeCell ref="A3:AE3"/>
    <mergeCell ref="A4:AE4"/>
    <mergeCell ref="A5:AE5"/>
    <mergeCell ref="A7:B7"/>
    <mergeCell ref="A8:B8"/>
    <mergeCell ref="D8:P10"/>
    <mergeCell ref="D7:P7"/>
    <mergeCell ref="R8:AE8"/>
    <mergeCell ref="R7:AE7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101"/>
  <sheetViews>
    <sheetView workbookViewId="0">
      <selection activeCell="R14" sqref="R14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433"/>
  </cols>
  <sheetData>
    <row r="1" spans="1:71" ht="45.75" customHeight="1">
      <c r="A1" s="2057" t="s">
        <v>3712</v>
      </c>
      <c r="B1" s="2058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</row>
    <row r="2" spans="1:71">
      <c r="A2" s="1853"/>
      <c r="B2" s="1352"/>
      <c r="C2" s="1352"/>
      <c r="D2" s="1352"/>
      <c r="E2" s="1352"/>
      <c r="F2" s="1352"/>
      <c r="G2" s="1352"/>
      <c r="H2" s="1352"/>
      <c r="I2" s="1352"/>
      <c r="J2" s="1352"/>
      <c r="K2" s="1352"/>
      <c r="L2" s="1352"/>
      <c r="M2" s="1352"/>
      <c r="N2" s="1352"/>
      <c r="O2" s="1352"/>
      <c r="P2" s="1352"/>
      <c r="Q2" s="1352"/>
      <c r="R2" s="1352"/>
      <c r="S2" s="1352"/>
      <c r="T2" s="1352"/>
      <c r="U2" s="1352"/>
      <c r="V2" s="1352"/>
      <c r="W2" s="1352"/>
      <c r="X2" s="1352"/>
      <c r="Y2" s="1352"/>
      <c r="Z2" s="1352"/>
      <c r="AA2" s="1352"/>
      <c r="AB2" s="1352"/>
      <c r="AC2" s="1352"/>
      <c r="AD2" s="1352"/>
      <c r="AE2" s="1352"/>
    </row>
    <row r="3" spans="1:71" ht="18">
      <c r="A3" s="2059" t="s">
        <v>3694</v>
      </c>
      <c r="B3" s="2060"/>
      <c r="C3" s="2060"/>
      <c r="D3" s="2060"/>
      <c r="E3" s="2060"/>
      <c r="F3" s="2060"/>
      <c r="G3" s="2060"/>
      <c r="H3" s="2060"/>
      <c r="I3" s="2060"/>
      <c r="J3" s="2060"/>
      <c r="K3" s="2060"/>
      <c r="L3" s="2060"/>
      <c r="M3" s="2060"/>
      <c r="N3" s="2060"/>
      <c r="O3" s="2060"/>
      <c r="P3" s="2060"/>
      <c r="Q3" s="2060"/>
      <c r="R3" s="2060"/>
      <c r="S3" s="2060"/>
      <c r="T3" s="2060"/>
      <c r="U3" s="2060"/>
      <c r="V3" s="2060"/>
      <c r="W3" s="2060"/>
      <c r="X3" s="2060"/>
      <c r="Y3" s="2060"/>
      <c r="Z3" s="2060"/>
      <c r="AA3" s="2060"/>
      <c r="AB3" s="2060"/>
      <c r="AC3" s="2060"/>
      <c r="AD3" s="2060"/>
      <c r="AE3" s="2060"/>
    </row>
    <row r="4" spans="1:71" s="284" customFormat="1" ht="15">
      <c r="A4" s="2069" t="s">
        <v>3681</v>
      </c>
      <c r="B4" s="2070"/>
      <c r="C4" s="2070"/>
      <c r="D4" s="2070"/>
      <c r="E4" s="2070"/>
      <c r="F4" s="2070"/>
      <c r="G4" s="2070"/>
      <c r="H4" s="2070"/>
      <c r="I4" s="2070"/>
      <c r="J4" s="2070"/>
      <c r="K4" s="2070"/>
      <c r="L4" s="2070"/>
      <c r="M4" s="2070"/>
      <c r="N4" s="2070"/>
      <c r="O4" s="2070"/>
      <c r="P4" s="2070"/>
      <c r="Q4" s="2070"/>
      <c r="R4" s="2070"/>
      <c r="S4" s="2070"/>
      <c r="T4" s="2070"/>
      <c r="U4" s="2070"/>
      <c r="V4" s="2070"/>
      <c r="W4" s="2070"/>
      <c r="X4" s="2070"/>
      <c r="Y4" s="2070"/>
      <c r="Z4" s="2070"/>
      <c r="AA4" s="2070"/>
      <c r="AB4" s="2070"/>
      <c r="AC4" s="2070"/>
      <c r="AD4" s="2070"/>
      <c r="AE4" s="2070"/>
      <c r="AF4" s="436"/>
      <c r="AG4" s="436"/>
      <c r="AH4" s="436"/>
      <c r="AI4" s="436"/>
      <c r="AJ4" s="436"/>
      <c r="AK4" s="436"/>
      <c r="AL4" s="436"/>
      <c r="AM4" s="436"/>
      <c r="AN4" s="436"/>
      <c r="AO4" s="436"/>
      <c r="AP4" s="436"/>
      <c r="AQ4" s="436"/>
      <c r="AR4" s="436"/>
      <c r="AS4" s="436"/>
      <c r="AT4" s="436"/>
      <c r="AU4" s="436"/>
      <c r="AV4" s="436"/>
      <c r="AW4" s="436"/>
      <c r="AX4" s="436"/>
      <c r="AY4" s="436"/>
      <c r="AZ4" s="436"/>
      <c r="BA4" s="436"/>
      <c r="BB4" s="436"/>
      <c r="BC4" s="436"/>
      <c r="BD4" s="436"/>
      <c r="BE4" s="436"/>
      <c r="BF4" s="436"/>
      <c r="BG4" s="436"/>
      <c r="BH4" s="436"/>
      <c r="BI4" s="436"/>
      <c r="BJ4" s="436"/>
      <c r="BK4" s="436"/>
      <c r="BL4" s="436"/>
      <c r="BM4" s="436"/>
      <c r="BN4" s="436"/>
      <c r="BO4" s="436"/>
      <c r="BP4" s="436"/>
      <c r="BQ4" s="436"/>
      <c r="BR4" s="436"/>
      <c r="BS4" s="436"/>
    </row>
    <row r="5" spans="1:71">
      <c r="A5" s="1853"/>
      <c r="B5" s="1352"/>
      <c r="C5" s="1352"/>
      <c r="D5" s="1352"/>
      <c r="E5" s="1352"/>
      <c r="F5" s="1352"/>
      <c r="G5" s="1352"/>
      <c r="H5" s="1352"/>
      <c r="I5" s="1352"/>
      <c r="J5" s="1352"/>
      <c r="K5" s="1352"/>
      <c r="L5" s="1352"/>
      <c r="M5" s="1352"/>
      <c r="N5" s="1352"/>
      <c r="O5" s="1352"/>
      <c r="P5" s="1352"/>
      <c r="Q5" s="1352"/>
      <c r="R5" s="1352"/>
      <c r="S5" s="1352"/>
      <c r="T5" s="1352"/>
      <c r="U5" s="1352"/>
      <c r="V5" s="1352"/>
      <c r="W5" s="1352"/>
      <c r="X5" s="1352"/>
      <c r="Y5" s="1352"/>
      <c r="Z5" s="1352"/>
      <c r="AA5" s="1352"/>
      <c r="AB5" s="1352"/>
      <c r="AC5" s="1352"/>
      <c r="AD5" s="1352"/>
      <c r="AE5" s="1352"/>
    </row>
    <row r="6" spans="1:71" ht="27" customHeight="1">
      <c r="A6" s="2045" t="s">
        <v>3682</v>
      </c>
      <c r="B6" s="2046"/>
      <c r="C6" s="419"/>
      <c r="D6" s="2052" t="s">
        <v>3683</v>
      </c>
      <c r="E6" s="2053"/>
      <c r="F6" s="2053"/>
      <c r="G6" s="2053"/>
      <c r="H6" s="2053"/>
      <c r="I6" s="2053"/>
      <c r="J6" s="2053"/>
      <c r="K6" s="2053"/>
      <c r="L6" s="2053"/>
      <c r="M6" s="2053"/>
      <c r="N6" s="2053"/>
      <c r="O6" s="2053"/>
      <c r="P6" s="2053"/>
      <c r="Q6" s="419"/>
      <c r="R6" s="2055" t="s">
        <v>3684</v>
      </c>
      <c r="S6" s="2056"/>
      <c r="T6" s="2056"/>
      <c r="U6" s="2056"/>
      <c r="V6" s="2056"/>
      <c r="W6" s="2056"/>
      <c r="X6" s="2056"/>
      <c r="Y6" s="2056"/>
      <c r="Z6" s="2056"/>
      <c r="AA6" s="2056"/>
      <c r="AB6" s="2056"/>
      <c r="AC6" s="2056"/>
      <c r="AD6" s="2056"/>
      <c r="AE6" s="2056"/>
    </row>
    <row r="7" spans="1:71" ht="18" customHeight="1">
      <c r="A7" s="2047" t="str">
        <f>+'SP1'!$A$6:$F$6</f>
        <v/>
      </c>
      <c r="B7" s="2048"/>
      <c r="C7" s="412"/>
      <c r="D7" s="2049"/>
      <c r="E7" s="1750"/>
      <c r="F7" s="1750"/>
      <c r="G7" s="1750"/>
      <c r="H7" s="1750"/>
      <c r="I7" s="1750"/>
      <c r="J7" s="1750"/>
      <c r="K7" s="1750"/>
      <c r="L7" s="1750"/>
      <c r="M7" s="1750"/>
      <c r="N7" s="1750"/>
      <c r="O7" s="1750"/>
      <c r="P7" s="1814"/>
      <c r="Q7" s="412"/>
      <c r="R7" s="2054" t="str">
        <f>+'SP1'!$U$6</f>
        <v/>
      </c>
      <c r="S7" s="1861"/>
      <c r="T7" s="1861"/>
      <c r="U7" s="1861"/>
      <c r="V7" s="1861"/>
      <c r="W7" s="1861"/>
      <c r="X7" s="1861"/>
      <c r="Y7" s="1861"/>
      <c r="Z7" s="1861"/>
      <c r="AA7" s="1861"/>
      <c r="AB7" s="1861"/>
      <c r="AC7" s="1861"/>
      <c r="AD7" s="1861"/>
      <c r="AE7" s="1050"/>
    </row>
    <row r="8" spans="1:71" ht="15" customHeight="1">
      <c r="A8" s="412"/>
      <c r="B8" s="412"/>
      <c r="C8" s="412"/>
      <c r="D8" s="2050"/>
      <c r="E8" s="1229"/>
      <c r="F8" s="1229"/>
      <c r="G8" s="1229"/>
      <c r="H8" s="1229"/>
      <c r="I8" s="1229"/>
      <c r="J8" s="1229"/>
      <c r="K8" s="1229"/>
      <c r="L8" s="1229"/>
      <c r="M8" s="1229"/>
      <c r="N8" s="1229"/>
      <c r="O8" s="1229"/>
      <c r="P8" s="1968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</row>
    <row r="9" spans="1:71" ht="15" customHeight="1">
      <c r="A9" s="412"/>
      <c r="B9" s="412"/>
      <c r="C9" s="412"/>
      <c r="D9" s="2051"/>
      <c r="E9" s="1801"/>
      <c r="F9" s="1801"/>
      <c r="G9" s="1801"/>
      <c r="H9" s="1801"/>
      <c r="I9" s="1801"/>
      <c r="J9" s="1801"/>
      <c r="K9" s="1801"/>
      <c r="L9" s="1801"/>
      <c r="M9" s="1801"/>
      <c r="N9" s="1801"/>
      <c r="O9" s="1801"/>
      <c r="P9" s="1812"/>
      <c r="Q9" s="412"/>
      <c r="R9" s="412"/>
      <c r="S9" s="412"/>
      <c r="T9" s="412"/>
      <c r="U9" s="412"/>
      <c r="V9" s="412"/>
      <c r="W9" s="412"/>
      <c r="X9" s="412"/>
      <c r="Y9" s="412"/>
      <c r="Z9" s="412"/>
      <c r="AA9" s="412"/>
      <c r="AB9" s="412"/>
      <c r="AC9" s="412"/>
      <c r="AD9" s="412"/>
      <c r="AE9" s="412"/>
    </row>
    <row r="10" spans="1:71">
      <c r="A10" s="1853"/>
      <c r="B10" s="1352"/>
      <c r="C10" s="1352"/>
      <c r="D10" s="1352"/>
      <c r="E10" s="1352"/>
      <c r="F10" s="1352"/>
      <c r="G10" s="1352"/>
      <c r="H10" s="1352"/>
      <c r="I10" s="1352"/>
      <c r="J10" s="1352"/>
      <c r="K10" s="1352"/>
      <c r="L10" s="1352"/>
      <c r="M10" s="1352"/>
      <c r="N10" s="1352"/>
      <c r="O10" s="1352"/>
      <c r="P10" s="1352"/>
      <c r="Q10" s="1352"/>
      <c r="R10" s="1352"/>
      <c r="S10" s="1352"/>
      <c r="T10" s="1352"/>
      <c r="U10" s="1352"/>
      <c r="V10" s="1352"/>
      <c r="W10" s="1352"/>
      <c r="X10" s="1352"/>
      <c r="Y10" s="1352"/>
      <c r="Z10" s="1352"/>
      <c r="AA10" s="1352"/>
      <c r="AB10" s="1352"/>
      <c r="AC10" s="1352"/>
      <c r="AD10" s="1352"/>
      <c r="AE10" s="1352"/>
    </row>
    <row r="11" spans="1:71" s="334" customFormat="1" ht="18" customHeight="1">
      <c r="A11" s="2018" t="s">
        <v>3685</v>
      </c>
      <c r="B11" s="2019"/>
      <c r="C11" s="2019"/>
      <c r="D11" s="2019"/>
      <c r="E11" s="2019"/>
      <c r="F11" s="2019"/>
      <c r="G11" s="2019"/>
      <c r="H11" s="2019"/>
      <c r="I11" s="2019"/>
      <c r="J11" s="2019"/>
      <c r="K11" s="2019"/>
      <c r="L11" s="2019"/>
      <c r="M11" s="2019"/>
      <c r="N11" s="2019"/>
      <c r="O11" s="2019"/>
      <c r="P11" s="2019"/>
      <c r="Q11" s="2019"/>
      <c r="R11" s="2019"/>
      <c r="S11" s="2019"/>
      <c r="T11" s="2019"/>
      <c r="U11" s="2019"/>
      <c r="V11" s="2019"/>
      <c r="W11" s="2019"/>
      <c r="X11" s="2019"/>
      <c r="Y11" s="2019"/>
      <c r="Z11" s="2019"/>
      <c r="AA11" s="2019"/>
      <c r="AB11" s="2019"/>
      <c r="AC11" s="2019"/>
      <c r="AD11" s="2019"/>
      <c r="AE11" s="2020"/>
      <c r="AF11" s="434"/>
      <c r="AG11" s="434"/>
      <c r="AH11" s="434"/>
      <c r="AI11" s="434"/>
      <c r="AJ11" s="434"/>
      <c r="AK11" s="434"/>
      <c r="AL11" s="434"/>
      <c r="AM11" s="434"/>
      <c r="AN11" s="434"/>
      <c r="AO11" s="434"/>
      <c r="AP11" s="434"/>
      <c r="AQ11" s="434"/>
      <c r="AR11" s="434"/>
      <c r="AS11" s="434"/>
      <c r="AT11" s="434"/>
      <c r="AU11" s="434"/>
      <c r="AV11" s="434"/>
      <c r="AW11" s="434"/>
      <c r="AX11" s="434"/>
      <c r="AY11" s="434"/>
      <c r="AZ11" s="434"/>
      <c r="BA11" s="434"/>
      <c r="BB11" s="434"/>
      <c r="BC11" s="434"/>
      <c r="BD11" s="434"/>
      <c r="BE11" s="434"/>
      <c r="BF11" s="434"/>
      <c r="BG11" s="434"/>
      <c r="BH11" s="434"/>
      <c r="BI11" s="434"/>
      <c r="BJ11" s="434"/>
      <c r="BK11" s="434"/>
      <c r="BL11" s="434"/>
      <c r="BM11" s="434"/>
      <c r="BN11" s="434"/>
      <c r="BO11" s="434"/>
      <c r="BP11" s="434"/>
      <c r="BQ11" s="434"/>
      <c r="BR11" s="434"/>
      <c r="BS11" s="434"/>
    </row>
    <row r="12" spans="1:71">
      <c r="A12" s="420"/>
      <c r="B12" s="421" t="s">
        <v>98</v>
      </c>
      <c r="C12" s="421"/>
      <c r="D12" s="2036" t="s">
        <v>97</v>
      </c>
      <c r="E12" s="2037"/>
      <c r="F12" s="2037"/>
      <c r="G12" s="2037"/>
      <c r="H12" s="2037"/>
      <c r="I12" s="2037"/>
      <c r="J12" s="421"/>
      <c r="K12" s="2036" t="s">
        <v>116</v>
      </c>
      <c r="L12" s="2037"/>
      <c r="M12" s="2037"/>
      <c r="N12" s="2037"/>
      <c r="O12" s="2037"/>
      <c r="P12" s="2037"/>
      <c r="Q12" s="421"/>
      <c r="R12" s="2036" t="s">
        <v>275</v>
      </c>
      <c r="S12" s="2037"/>
      <c r="T12" s="2037"/>
      <c r="U12" s="2037"/>
      <c r="V12" s="2037"/>
      <c r="W12" s="2037"/>
      <c r="X12" s="421"/>
      <c r="Y12" s="2036" t="s">
        <v>148</v>
      </c>
      <c r="Z12" s="2037"/>
      <c r="AA12" s="2037"/>
      <c r="AB12" s="2037"/>
      <c r="AC12" s="2037"/>
      <c r="AD12" s="2037"/>
      <c r="AE12" s="422"/>
    </row>
    <row r="13" spans="1:71" ht="18" customHeight="1">
      <c r="A13" s="420"/>
      <c r="B13" s="629" t="str">
        <f>+CONCATENATE('SP1'!$A$10)</f>
        <v>0</v>
      </c>
      <c r="C13" s="628"/>
      <c r="D13" s="2035" t="str">
        <f>+CONCATENATE('SP1'!$H$10)</f>
        <v>0</v>
      </c>
      <c r="E13" s="1771"/>
      <c r="F13" s="1771"/>
      <c r="G13" s="1771"/>
      <c r="H13" s="1771"/>
      <c r="I13" s="1883"/>
      <c r="J13" s="628"/>
      <c r="K13" s="2038" t="str">
        <f>+CONCATENATE('SP1'!$Q$10)</f>
        <v/>
      </c>
      <c r="L13" s="1809"/>
      <c r="M13" s="1809"/>
      <c r="N13" s="1809"/>
      <c r="O13" s="1809"/>
      <c r="P13" s="2039"/>
      <c r="Q13" s="628"/>
      <c r="R13" s="2040">
        <f>+'SP1'!$A$12</f>
        <v>0</v>
      </c>
      <c r="S13" s="1944"/>
      <c r="T13" s="1944"/>
      <c r="U13" s="1944"/>
      <c r="V13" s="1944"/>
      <c r="W13" s="2041"/>
      <c r="X13" s="628"/>
      <c r="Y13" s="2042" t="str">
        <f>+'SP1'!$Y$10</f>
        <v/>
      </c>
      <c r="Z13" s="1861"/>
      <c r="AA13" s="1861"/>
      <c r="AB13" s="1861"/>
      <c r="AC13" s="1861"/>
      <c r="AD13" s="1050"/>
      <c r="AE13" s="424"/>
    </row>
    <row r="14" spans="1:71" ht="5.0999999999999996" customHeight="1">
      <c r="A14" s="425"/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  <c r="AA14" s="426"/>
      <c r="AB14" s="426"/>
      <c r="AC14" s="426"/>
      <c r="AD14" s="426"/>
      <c r="AE14" s="427"/>
    </row>
    <row r="15" spans="1:71" ht="18" customHeight="1">
      <c r="A15" s="2018" t="s">
        <v>3695</v>
      </c>
      <c r="B15" s="2019"/>
      <c r="C15" s="2019"/>
      <c r="D15" s="2019"/>
      <c r="E15" s="2019"/>
      <c r="F15" s="2019"/>
      <c r="G15" s="2019"/>
      <c r="H15" s="2019"/>
      <c r="I15" s="2019"/>
      <c r="J15" s="2019"/>
      <c r="K15" s="2019"/>
      <c r="L15" s="2019"/>
      <c r="M15" s="2019"/>
      <c r="N15" s="2019"/>
      <c r="O15" s="2019"/>
      <c r="P15" s="2019"/>
      <c r="Q15" s="2019"/>
      <c r="R15" s="2019"/>
      <c r="S15" s="2019"/>
      <c r="T15" s="2019"/>
      <c r="U15" s="2019"/>
      <c r="V15" s="2019"/>
      <c r="W15" s="2019"/>
      <c r="X15" s="2019"/>
      <c r="Y15" s="2019"/>
      <c r="Z15" s="2019"/>
      <c r="AA15" s="2019"/>
      <c r="AB15" s="2019"/>
      <c r="AC15" s="2019"/>
      <c r="AD15" s="2019"/>
      <c r="AE15" s="2020"/>
    </row>
    <row r="16" spans="1:71" s="433" customFormat="1">
      <c r="A16" s="420"/>
      <c r="B16" s="2043" t="s">
        <v>3696</v>
      </c>
      <c r="C16" s="1229"/>
      <c r="D16" s="1229"/>
      <c r="E16" s="1229"/>
      <c r="F16" s="1229"/>
      <c r="G16" s="1229"/>
      <c r="H16" s="1229"/>
      <c r="I16" s="1229"/>
      <c r="J16" s="1229"/>
      <c r="K16" s="1229"/>
      <c r="L16" s="1229"/>
      <c r="M16" s="1229"/>
      <c r="N16" s="1229"/>
      <c r="O16" s="1229"/>
      <c r="P16" s="1229"/>
      <c r="Q16" s="1229"/>
      <c r="R16" s="1229"/>
      <c r="S16" s="1229"/>
      <c r="T16" s="1229"/>
      <c r="U16" s="1229"/>
      <c r="V16" s="1229"/>
      <c r="W16" s="1229"/>
      <c r="X16" s="1229"/>
      <c r="Y16" s="1229"/>
      <c r="Z16" s="1229"/>
      <c r="AA16" s="1229"/>
      <c r="AB16" s="1229"/>
      <c r="AC16" s="1229"/>
      <c r="AD16" s="1229"/>
      <c r="AE16" s="424"/>
    </row>
    <row r="17" spans="1:31" s="433" customFormat="1" ht="18" customHeight="1">
      <c r="A17" s="420"/>
      <c r="B17" s="2044"/>
      <c r="C17" s="1809"/>
      <c r="D17" s="1809"/>
      <c r="E17" s="1809"/>
      <c r="F17" s="1809"/>
      <c r="G17" s="1809"/>
      <c r="H17" s="1809"/>
      <c r="I17" s="1809"/>
      <c r="J17" s="1809"/>
      <c r="K17" s="1809"/>
      <c r="L17" s="1809"/>
      <c r="M17" s="1809"/>
      <c r="N17" s="1809"/>
      <c r="O17" s="1809"/>
      <c r="P17" s="1809"/>
      <c r="Q17" s="1809"/>
      <c r="R17" s="1809"/>
      <c r="S17" s="1809"/>
      <c r="T17" s="1809"/>
      <c r="U17" s="1809"/>
      <c r="V17" s="1809"/>
      <c r="W17" s="1809"/>
      <c r="X17" s="1809"/>
      <c r="Y17" s="1809"/>
      <c r="Z17" s="1809"/>
      <c r="AA17" s="1809"/>
      <c r="AB17" s="1809"/>
      <c r="AC17" s="1809"/>
      <c r="AD17" s="2039"/>
      <c r="AE17" s="424"/>
    </row>
    <row r="18" spans="1:31" s="433" customFormat="1" ht="5.0999999999999996" customHeight="1">
      <c r="A18" s="420"/>
      <c r="B18" s="2043"/>
      <c r="C18" s="1229"/>
      <c r="D18" s="1229"/>
      <c r="E18" s="1229"/>
      <c r="F18" s="1229"/>
      <c r="G18" s="1229"/>
      <c r="H18" s="1229"/>
      <c r="I18" s="1229"/>
      <c r="J18" s="1229"/>
      <c r="K18" s="1229"/>
      <c r="L18" s="1229"/>
      <c r="M18" s="1229"/>
      <c r="N18" s="1229"/>
      <c r="O18" s="1229"/>
      <c r="P18" s="1229"/>
      <c r="Q18" s="1229"/>
      <c r="R18" s="1229"/>
      <c r="S18" s="1229"/>
      <c r="T18" s="1229"/>
      <c r="U18" s="1229"/>
      <c r="V18" s="1229"/>
      <c r="W18" s="1229"/>
      <c r="X18" s="1229"/>
      <c r="Y18" s="1229"/>
      <c r="Z18" s="1229"/>
      <c r="AA18" s="1229"/>
      <c r="AB18" s="1229"/>
      <c r="AC18" s="1229"/>
      <c r="AD18" s="1229"/>
      <c r="AE18" s="424"/>
    </row>
    <row r="19" spans="1:31" s="433" customFormat="1" ht="18" customHeight="1">
      <c r="A19" s="484"/>
      <c r="B19" s="483" t="s">
        <v>3697</v>
      </c>
      <c r="C19" s="481"/>
      <c r="D19" s="2030">
        <f>+'DAP1'!F24</f>
        <v>2021</v>
      </c>
      <c r="E19" s="2063"/>
      <c r="F19" s="2064" t="s">
        <v>3753</v>
      </c>
      <c r="G19" s="1203"/>
      <c r="H19" s="1203"/>
      <c r="I19" s="1203"/>
      <c r="J19" s="1203"/>
      <c r="K19" s="1203"/>
      <c r="L19" s="1352"/>
      <c r="M19" s="1968"/>
      <c r="N19" s="2065"/>
      <c r="O19" s="2066"/>
      <c r="P19" s="1771"/>
      <c r="Q19" s="1883"/>
      <c r="R19" s="2067" t="s">
        <v>3698</v>
      </c>
      <c r="S19" s="1352"/>
      <c r="T19" s="1352"/>
      <c r="U19" s="1352"/>
      <c r="V19" s="1352"/>
      <c r="W19" s="1352"/>
      <c r="X19" s="1352"/>
      <c r="Y19" s="1352"/>
      <c r="Z19" s="1352"/>
      <c r="AA19" s="1352"/>
      <c r="AB19" s="1352"/>
      <c r="AC19" s="1352"/>
      <c r="AD19" s="1352"/>
      <c r="AE19" s="1968"/>
    </row>
    <row r="20" spans="1:31" s="433" customFormat="1" ht="5.0999999999999996" customHeight="1">
      <c r="A20" s="484"/>
      <c r="B20" s="2043"/>
      <c r="C20" s="1229"/>
      <c r="D20" s="1229"/>
      <c r="E20" s="1229"/>
      <c r="F20" s="1229"/>
      <c r="G20" s="1229"/>
      <c r="H20" s="1229"/>
      <c r="I20" s="1229"/>
      <c r="J20" s="1229"/>
      <c r="K20" s="1229"/>
      <c r="L20" s="1229"/>
      <c r="M20" s="1229"/>
      <c r="N20" s="1229"/>
      <c r="O20" s="1229"/>
      <c r="P20" s="1229"/>
      <c r="Q20" s="1229"/>
      <c r="R20" s="1229"/>
      <c r="S20" s="1229"/>
      <c r="T20" s="1229"/>
      <c r="U20" s="1229"/>
      <c r="V20" s="1229"/>
      <c r="W20" s="1229"/>
      <c r="X20" s="1229"/>
      <c r="Y20" s="1229"/>
      <c r="Z20" s="1229"/>
      <c r="AA20" s="1229"/>
      <c r="AB20" s="1229"/>
      <c r="AC20" s="1229"/>
      <c r="AD20" s="1229"/>
      <c r="AE20" s="1968"/>
    </row>
    <row r="21" spans="1:31" s="433" customFormat="1" ht="18" customHeight="1">
      <c r="A21" s="484"/>
      <c r="B21" s="2016"/>
      <c r="C21" s="1229"/>
      <c r="D21" s="1229"/>
      <c r="E21" s="1229"/>
      <c r="F21" s="2068" t="s">
        <v>3754</v>
      </c>
      <c r="G21" s="1203"/>
      <c r="H21" s="1203"/>
      <c r="I21" s="1203"/>
      <c r="J21" s="1203"/>
      <c r="K21" s="1203"/>
      <c r="L21" s="1352"/>
      <c r="M21" s="1968"/>
      <c r="N21" s="2065"/>
      <c r="O21" s="2066"/>
      <c r="P21" s="1771"/>
      <c r="Q21" s="1883"/>
      <c r="R21" s="2068" t="s">
        <v>3755</v>
      </c>
      <c r="S21" s="1203"/>
      <c r="T21" s="1203"/>
      <c r="U21" s="1203"/>
      <c r="V21" s="1203"/>
      <c r="W21" s="1203"/>
      <c r="X21" s="1352"/>
      <c r="Y21" s="1968"/>
      <c r="Z21" s="2065"/>
      <c r="AA21" s="2066"/>
      <c r="AB21" s="1771"/>
      <c r="AC21" s="1883"/>
      <c r="AD21" s="2050"/>
      <c r="AE21" s="1968"/>
    </row>
    <row r="22" spans="1:31" s="433" customFormat="1" ht="4.5" customHeight="1">
      <c r="A22" s="482"/>
      <c r="B22" s="426"/>
      <c r="C22" s="426"/>
      <c r="D22" s="426"/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  <c r="Q22" s="426"/>
      <c r="R22" s="426"/>
      <c r="S22" s="426"/>
      <c r="T22" s="426"/>
      <c r="U22" s="426"/>
      <c r="V22" s="426"/>
      <c r="W22" s="426"/>
      <c r="X22" s="426"/>
      <c r="Y22" s="426"/>
      <c r="Z22" s="426"/>
      <c r="AA22" s="426"/>
      <c r="AB22" s="426"/>
      <c r="AC22" s="426"/>
      <c r="AD22" s="426"/>
      <c r="AE22" s="427"/>
    </row>
    <row r="23" spans="1:31" s="433" customFormat="1" ht="18" customHeight="1">
      <c r="A23" s="2018" t="s">
        <v>3691</v>
      </c>
      <c r="B23" s="2019"/>
      <c r="C23" s="2019"/>
      <c r="D23" s="2019"/>
      <c r="E23" s="2019"/>
      <c r="F23" s="2019"/>
      <c r="G23" s="2019"/>
      <c r="H23" s="2019"/>
      <c r="I23" s="2019"/>
      <c r="J23" s="2019"/>
      <c r="K23" s="2019"/>
      <c r="L23" s="2019"/>
      <c r="M23" s="2019"/>
      <c r="N23" s="2019"/>
      <c r="O23" s="2019"/>
      <c r="P23" s="2019"/>
      <c r="Q23" s="2019"/>
      <c r="R23" s="2019"/>
      <c r="S23" s="2019"/>
      <c r="T23" s="2019"/>
      <c r="U23" s="2019"/>
      <c r="V23" s="2019"/>
      <c r="W23" s="2019"/>
      <c r="X23" s="2019"/>
      <c r="Y23" s="2019"/>
      <c r="Z23" s="2019"/>
      <c r="AA23" s="2019"/>
      <c r="AB23" s="2019"/>
      <c r="AC23" s="2019"/>
      <c r="AD23" s="2019"/>
      <c r="AE23" s="2020"/>
    </row>
    <row r="24" spans="1:31" s="433" customFormat="1" ht="60" customHeight="1">
      <c r="A24" s="2029"/>
      <c r="B24" s="1229"/>
      <c r="C24" s="1229"/>
      <c r="D24" s="1229"/>
      <c r="E24" s="1229"/>
      <c r="F24" s="1229"/>
      <c r="G24" s="1229"/>
      <c r="H24" s="1229"/>
      <c r="I24" s="1229"/>
      <c r="J24" s="1229"/>
      <c r="K24" s="1229"/>
      <c r="L24" s="1229"/>
      <c r="M24" s="1229"/>
      <c r="N24" s="1229"/>
      <c r="O24" s="1229"/>
      <c r="P24" s="1229"/>
      <c r="Q24" s="1229"/>
      <c r="R24" s="1229"/>
      <c r="S24" s="1229"/>
      <c r="T24" s="2024"/>
      <c r="U24" s="2025"/>
      <c r="V24" s="2025"/>
      <c r="W24" s="2025"/>
      <c r="X24" s="2025"/>
      <c r="Y24" s="2025"/>
      <c r="Z24" s="2025"/>
      <c r="AA24" s="2025"/>
      <c r="AB24" s="2025"/>
      <c r="AC24" s="2025"/>
      <c r="AD24" s="2025"/>
      <c r="AE24" s="424"/>
    </row>
    <row r="25" spans="1:31" s="433" customFormat="1" ht="18" customHeight="1">
      <c r="A25" s="420"/>
      <c r="B25" s="429" t="s">
        <v>360</v>
      </c>
      <c r="C25" s="2021">
        <f ca="1">+TODAY()</f>
        <v>44720</v>
      </c>
      <c r="D25" s="2022"/>
      <c r="E25" s="2022"/>
      <c r="F25" s="2022"/>
      <c r="G25" s="2023"/>
      <c r="H25" s="1229"/>
      <c r="I25" s="1229"/>
      <c r="J25" s="1229"/>
      <c r="K25" s="1229"/>
      <c r="L25" s="1229"/>
      <c r="M25" s="1229"/>
      <c r="N25" s="1229"/>
      <c r="O25" s="1229"/>
      <c r="P25" s="1229"/>
      <c r="Q25" s="1229"/>
      <c r="R25" s="1229"/>
      <c r="S25" s="1229"/>
      <c r="T25" s="2026"/>
      <c r="U25" s="2026"/>
      <c r="V25" s="2026"/>
      <c r="W25" s="2026"/>
      <c r="X25" s="2026"/>
      <c r="Y25" s="2026"/>
      <c r="Z25" s="2026"/>
      <c r="AA25" s="2026"/>
      <c r="AB25" s="2026"/>
      <c r="AC25" s="2026"/>
      <c r="AD25" s="2026"/>
      <c r="AE25" s="424"/>
    </row>
    <row r="26" spans="1:31" s="433" customFormat="1">
      <c r="A26" s="420"/>
      <c r="B26" s="423"/>
      <c r="C26" s="423"/>
      <c r="D26" s="423"/>
      <c r="E26" s="423"/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23"/>
      <c r="Q26" s="423"/>
      <c r="R26" s="423"/>
      <c r="S26" s="423"/>
      <c r="T26" s="2027" t="s">
        <v>362</v>
      </c>
      <c r="U26" s="2028"/>
      <c r="V26" s="2028"/>
      <c r="W26" s="2028"/>
      <c r="X26" s="2028"/>
      <c r="Y26" s="2028"/>
      <c r="Z26" s="2028"/>
      <c r="AA26" s="2028"/>
      <c r="AB26" s="2028"/>
      <c r="AC26" s="2028"/>
      <c r="AD26" s="2028"/>
      <c r="AE26" s="424"/>
    </row>
    <row r="27" spans="1:31" s="433" customFormat="1" ht="5.0999999999999996" customHeight="1">
      <c r="A27" s="425"/>
      <c r="B27" s="426"/>
      <c r="C27" s="426"/>
      <c r="D27" s="426"/>
      <c r="E27" s="426"/>
      <c r="F27" s="426"/>
      <c r="G27" s="426"/>
      <c r="H27" s="426"/>
      <c r="I27" s="426"/>
      <c r="J27" s="426"/>
      <c r="K27" s="426"/>
      <c r="L27" s="426"/>
      <c r="M27" s="426"/>
      <c r="N27" s="426"/>
      <c r="O27" s="426"/>
      <c r="P27" s="426"/>
      <c r="Q27" s="426"/>
      <c r="R27" s="426"/>
      <c r="S27" s="426"/>
      <c r="T27" s="426"/>
      <c r="U27" s="426"/>
      <c r="V27" s="426"/>
      <c r="W27" s="426"/>
      <c r="X27" s="426"/>
      <c r="Y27" s="426"/>
      <c r="Z27" s="426"/>
      <c r="AA27" s="426"/>
      <c r="AB27" s="426"/>
      <c r="AC27" s="426"/>
      <c r="AD27" s="426"/>
      <c r="AE27" s="427"/>
    </row>
    <row r="28" spans="1:31" s="433" customFormat="1" ht="28.5" customHeight="1">
      <c r="A28" s="431"/>
      <c r="B28" s="2010" t="s">
        <v>3692</v>
      </c>
      <c r="C28" s="2011"/>
      <c r="D28" s="2011"/>
      <c r="E28" s="2011"/>
      <c r="F28" s="2011"/>
      <c r="G28" s="2011"/>
      <c r="H28" s="2011"/>
      <c r="I28" s="2011"/>
      <c r="J28" s="2011"/>
      <c r="K28" s="2011"/>
      <c r="L28" s="2011"/>
      <c r="M28" s="2011"/>
      <c r="N28" s="2011"/>
      <c r="O28" s="2011"/>
      <c r="P28" s="2011"/>
      <c r="Q28" s="2011"/>
      <c r="R28" s="2011"/>
      <c r="S28" s="2011"/>
      <c r="T28" s="2011"/>
      <c r="U28" s="2011"/>
      <c r="V28" s="2011"/>
      <c r="W28" s="2011"/>
      <c r="X28" s="2011"/>
      <c r="Y28" s="2011"/>
      <c r="Z28" s="2011"/>
      <c r="AA28" s="2011"/>
      <c r="AB28" s="2011"/>
      <c r="AC28" s="2011"/>
      <c r="AD28" s="2011"/>
      <c r="AE28" s="432"/>
    </row>
    <row r="29" spans="1:31" s="433" customFormat="1">
      <c r="A29" s="2012"/>
      <c r="B29" s="1801"/>
      <c r="C29" s="1801"/>
      <c r="D29" s="1801"/>
      <c r="E29" s="1801"/>
      <c r="F29" s="1801"/>
      <c r="G29" s="1801"/>
      <c r="H29" s="1801"/>
      <c r="I29" s="1801"/>
      <c r="J29" s="1801"/>
      <c r="K29" s="1801"/>
      <c r="L29" s="1801"/>
      <c r="M29" s="1801"/>
      <c r="N29" s="1801"/>
      <c r="O29" s="1801"/>
      <c r="P29" s="1801"/>
      <c r="Q29" s="1801"/>
      <c r="R29" s="1801"/>
      <c r="S29" s="1801"/>
      <c r="T29" s="1801"/>
      <c r="U29" s="1801"/>
      <c r="V29" s="1801"/>
      <c r="W29" s="1801"/>
      <c r="X29" s="1801"/>
      <c r="Y29" s="1801"/>
      <c r="Z29" s="1801"/>
      <c r="AA29" s="2013" t="s">
        <v>3699</v>
      </c>
      <c r="AB29" s="2014"/>
      <c r="AC29" s="2014"/>
      <c r="AD29" s="2014"/>
      <c r="AE29" s="2015"/>
    </row>
    <row r="30" spans="1:31" s="433" customFormat="1">
      <c r="A30" s="435"/>
      <c r="B30" s="435"/>
      <c r="C30" s="435"/>
      <c r="D30" s="435"/>
      <c r="E30" s="435"/>
      <c r="F30" s="435"/>
      <c r="G30" s="435"/>
      <c r="H30" s="435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5"/>
      <c r="Y30" s="435"/>
      <c r="Z30" s="435"/>
      <c r="AA30" s="435"/>
      <c r="AB30" s="435"/>
      <c r="AC30" s="435"/>
      <c r="AD30" s="435"/>
      <c r="AE30" s="435"/>
    </row>
    <row r="31" spans="1:31" s="433" customFormat="1">
      <c r="A31" s="435"/>
      <c r="B31" s="435"/>
      <c r="C31" s="435"/>
      <c r="D31" s="435"/>
      <c r="E31" s="435"/>
      <c r="F31" s="435"/>
      <c r="G31" s="435"/>
      <c r="H31" s="435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5"/>
      <c r="Y31" s="435"/>
      <c r="Z31" s="435"/>
      <c r="AA31" s="435"/>
      <c r="AB31" s="435"/>
      <c r="AC31" s="435"/>
      <c r="AD31" s="435"/>
      <c r="AE31" s="435"/>
    </row>
    <row r="32" spans="1:31" s="433" customFormat="1">
      <c r="A32" s="435"/>
      <c r="B32" s="435"/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435"/>
    </row>
    <row r="33" spans="1:31" s="433" customFormat="1">
      <c r="A33" s="435"/>
      <c r="B33" s="435"/>
      <c r="C33" s="435"/>
      <c r="D33" s="435"/>
      <c r="E33" s="435"/>
      <c r="F33" s="435"/>
      <c r="G33" s="435"/>
      <c r="H33" s="435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5"/>
      <c r="Y33" s="435"/>
      <c r="Z33" s="435"/>
      <c r="AA33" s="435"/>
      <c r="AB33" s="435"/>
      <c r="AC33" s="435"/>
      <c r="AD33" s="435"/>
      <c r="AE33" s="435"/>
    </row>
    <row r="34" spans="1:31" s="433" customFormat="1">
      <c r="A34" s="435"/>
      <c r="B34" s="435"/>
      <c r="C34" s="435"/>
      <c r="D34" s="435"/>
      <c r="E34" s="435"/>
      <c r="F34" s="435"/>
      <c r="G34" s="435"/>
      <c r="H34" s="435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5"/>
      <c r="Y34" s="435"/>
      <c r="Z34" s="435"/>
      <c r="AA34" s="435"/>
      <c r="AB34" s="435"/>
      <c r="AC34" s="435"/>
      <c r="AD34" s="435"/>
      <c r="AE34" s="435"/>
    </row>
    <row r="35" spans="1:31" s="433" customFormat="1">
      <c r="A35" s="435"/>
      <c r="B35" s="435"/>
      <c r="C35" s="435"/>
      <c r="D35" s="435"/>
      <c r="E35" s="435"/>
      <c r="F35" s="435"/>
      <c r="G35" s="435"/>
      <c r="H35" s="435"/>
      <c r="I35" s="435"/>
      <c r="J35" s="435"/>
      <c r="K35" s="435"/>
      <c r="L35" s="435"/>
      <c r="M35" s="435"/>
      <c r="N35" s="435"/>
      <c r="O35" s="435"/>
      <c r="P35" s="435"/>
      <c r="Q35" s="435"/>
      <c r="R35" s="435"/>
      <c r="S35" s="435"/>
      <c r="T35" s="435"/>
      <c r="U35" s="435"/>
      <c r="V35" s="435"/>
      <c r="W35" s="435"/>
      <c r="X35" s="435"/>
      <c r="Y35" s="435"/>
      <c r="Z35" s="435"/>
      <c r="AA35" s="435"/>
      <c r="AB35" s="435"/>
      <c r="AC35" s="435"/>
      <c r="AD35" s="435"/>
      <c r="AE35" s="435"/>
    </row>
    <row r="36" spans="1:31" s="433" customFormat="1">
      <c r="A36" s="435"/>
      <c r="B36" s="435"/>
      <c r="C36" s="435"/>
      <c r="D36" s="435"/>
      <c r="E36" s="435"/>
      <c r="F36" s="435"/>
      <c r="G36" s="435"/>
      <c r="H36" s="435"/>
      <c r="I36" s="435"/>
      <c r="J36" s="435"/>
      <c r="K36" s="435"/>
      <c r="L36" s="435"/>
      <c r="M36" s="435"/>
      <c r="N36" s="435"/>
      <c r="O36" s="435"/>
      <c r="P36" s="435"/>
      <c r="Q36" s="435"/>
      <c r="R36" s="435"/>
      <c r="S36" s="435"/>
      <c r="T36" s="435"/>
      <c r="U36" s="435"/>
      <c r="V36" s="435"/>
      <c r="W36" s="435"/>
      <c r="X36" s="435"/>
      <c r="Y36" s="435"/>
      <c r="Z36" s="435"/>
      <c r="AA36" s="435"/>
      <c r="AB36" s="435"/>
      <c r="AC36" s="435"/>
      <c r="AD36" s="435"/>
      <c r="AE36" s="435"/>
    </row>
    <row r="37" spans="1:31" s="433" customFormat="1">
      <c r="A37" s="435"/>
      <c r="B37" s="435"/>
      <c r="C37" s="435"/>
      <c r="D37" s="435"/>
      <c r="E37" s="435"/>
      <c r="F37" s="435"/>
      <c r="G37" s="435"/>
      <c r="H37" s="435"/>
      <c r="I37" s="435"/>
      <c r="J37" s="435"/>
      <c r="K37" s="435"/>
      <c r="L37" s="435"/>
      <c r="M37" s="435"/>
      <c r="N37" s="435"/>
      <c r="O37" s="435"/>
      <c r="P37" s="435"/>
      <c r="Q37" s="435"/>
      <c r="R37" s="435"/>
      <c r="S37" s="435"/>
      <c r="T37" s="435"/>
      <c r="U37" s="435"/>
      <c r="V37" s="435"/>
      <c r="W37" s="435"/>
      <c r="X37" s="435"/>
      <c r="Y37" s="435"/>
      <c r="Z37" s="435"/>
      <c r="AA37" s="435"/>
      <c r="AB37" s="435"/>
      <c r="AC37" s="435"/>
      <c r="AD37" s="435"/>
      <c r="AE37" s="435"/>
    </row>
    <row r="38" spans="1:31" s="433" customFormat="1">
      <c r="A38" s="435"/>
      <c r="B38" s="435"/>
      <c r="C38" s="435"/>
      <c r="D38" s="435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5"/>
      <c r="Q38" s="435"/>
      <c r="R38" s="435"/>
      <c r="S38" s="435"/>
      <c r="T38" s="435"/>
      <c r="U38" s="435"/>
      <c r="V38" s="435"/>
      <c r="W38" s="435"/>
      <c r="X38" s="435"/>
      <c r="Y38" s="435"/>
      <c r="Z38" s="435"/>
      <c r="AA38" s="435"/>
      <c r="AB38" s="435"/>
      <c r="AC38" s="435"/>
      <c r="AD38" s="435"/>
      <c r="AE38" s="435"/>
    </row>
    <row r="39" spans="1:31" s="433" customFormat="1">
      <c r="A39" s="435"/>
      <c r="B39" s="435"/>
      <c r="C39" s="435"/>
      <c r="D39" s="435"/>
      <c r="E39" s="435"/>
      <c r="F39" s="435"/>
      <c r="G39" s="435"/>
      <c r="H39" s="435"/>
      <c r="I39" s="435"/>
      <c r="J39" s="435"/>
      <c r="K39" s="435"/>
      <c r="L39" s="435"/>
      <c r="M39" s="435"/>
      <c r="N39" s="435"/>
      <c r="O39" s="435"/>
      <c r="P39" s="435"/>
      <c r="Q39" s="435"/>
      <c r="R39" s="435"/>
      <c r="S39" s="435"/>
      <c r="T39" s="435"/>
      <c r="U39" s="435"/>
      <c r="V39" s="435"/>
      <c r="W39" s="435"/>
      <c r="X39" s="435"/>
      <c r="Y39" s="435"/>
      <c r="Z39" s="435"/>
      <c r="AA39" s="435"/>
      <c r="AB39" s="435"/>
      <c r="AC39" s="435"/>
      <c r="AD39" s="435"/>
      <c r="AE39" s="435"/>
    </row>
    <row r="40" spans="1:31" s="433" customFormat="1">
      <c r="A40" s="435"/>
      <c r="B40" s="435"/>
      <c r="C40" s="435"/>
      <c r="D40" s="435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5"/>
      <c r="Q40" s="435"/>
      <c r="R40" s="435"/>
      <c r="S40" s="435"/>
      <c r="T40" s="435"/>
      <c r="U40" s="435"/>
      <c r="V40" s="435"/>
      <c r="W40" s="435"/>
      <c r="X40" s="435"/>
      <c r="Y40" s="435"/>
      <c r="Z40" s="435"/>
      <c r="AA40" s="435"/>
      <c r="AB40" s="435"/>
      <c r="AC40" s="435"/>
      <c r="AD40" s="435"/>
      <c r="AE40" s="435"/>
    </row>
    <row r="41" spans="1:31" s="433" customFormat="1">
      <c r="A41" s="435"/>
      <c r="B41" s="435"/>
      <c r="C41" s="435"/>
      <c r="D41" s="435"/>
      <c r="E41" s="435"/>
      <c r="F41" s="435"/>
      <c r="G41" s="435"/>
      <c r="H41" s="435"/>
      <c r="I41" s="435"/>
      <c r="J41" s="435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5"/>
      <c r="Y41" s="435"/>
      <c r="Z41" s="435"/>
      <c r="AA41" s="435"/>
      <c r="AB41" s="435"/>
      <c r="AC41" s="435"/>
      <c r="AD41" s="435"/>
      <c r="AE41" s="435"/>
    </row>
    <row r="42" spans="1:31" s="433" customFormat="1">
      <c r="A42" s="435"/>
      <c r="B42" s="435"/>
      <c r="C42" s="435"/>
      <c r="D42" s="435"/>
      <c r="E42" s="435"/>
      <c r="F42" s="435"/>
      <c r="G42" s="435"/>
      <c r="H42" s="435"/>
      <c r="I42" s="435"/>
      <c r="J42" s="435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5"/>
      <c r="Y42" s="435"/>
      <c r="Z42" s="435"/>
      <c r="AA42" s="435"/>
      <c r="AB42" s="435"/>
      <c r="AC42" s="435"/>
      <c r="AD42" s="435"/>
      <c r="AE42" s="435"/>
    </row>
    <row r="43" spans="1:31" s="433" customFormat="1">
      <c r="A43" s="435"/>
      <c r="B43" s="435"/>
      <c r="C43" s="435"/>
      <c r="D43" s="435"/>
      <c r="E43" s="435"/>
      <c r="F43" s="435"/>
      <c r="G43" s="435"/>
      <c r="H43" s="435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5"/>
      <c r="Y43" s="435"/>
      <c r="Z43" s="435"/>
      <c r="AA43" s="435"/>
      <c r="AB43" s="435"/>
      <c r="AC43" s="435"/>
      <c r="AD43" s="435"/>
      <c r="AE43" s="435"/>
    </row>
    <row r="44" spans="1:31" s="433" customFormat="1">
      <c r="A44" s="435"/>
      <c r="B44" s="435"/>
      <c r="C44" s="435"/>
      <c r="D44" s="435"/>
      <c r="E44" s="435"/>
      <c r="F44" s="435"/>
      <c r="G44" s="435"/>
      <c r="H44" s="435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5"/>
      <c r="Y44" s="435"/>
      <c r="Z44" s="435"/>
      <c r="AA44" s="435"/>
      <c r="AB44" s="435"/>
      <c r="AC44" s="435"/>
      <c r="AD44" s="435"/>
      <c r="AE44" s="435"/>
    </row>
    <row r="45" spans="1:31" s="433" customFormat="1">
      <c r="A45" s="435"/>
      <c r="B45" s="435"/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5"/>
      <c r="Z45" s="435"/>
      <c r="AA45" s="435"/>
      <c r="AB45" s="435"/>
      <c r="AC45" s="435"/>
      <c r="AD45" s="435"/>
      <c r="AE45" s="435"/>
    </row>
    <row r="46" spans="1:31" s="433" customFormat="1"/>
    <row r="47" spans="1:31" s="433" customFormat="1"/>
    <row r="48" spans="1:31" s="433" customFormat="1"/>
    <row r="49" s="433" customFormat="1"/>
    <row r="50" s="433" customFormat="1"/>
    <row r="51" s="433" customFormat="1"/>
    <row r="52" s="433" customFormat="1"/>
    <row r="53" s="433" customFormat="1"/>
    <row r="54" s="433" customFormat="1"/>
    <row r="55" s="433" customFormat="1"/>
    <row r="56" s="433" customFormat="1"/>
    <row r="57" s="433" customFormat="1"/>
    <row r="58" s="433" customFormat="1"/>
    <row r="59" s="433" customFormat="1"/>
    <row r="60" s="433" customFormat="1"/>
    <row r="61" s="433" customFormat="1"/>
    <row r="62" s="433" customFormat="1"/>
    <row r="63" s="433" customFormat="1"/>
    <row r="64" s="433" customFormat="1"/>
    <row r="65" s="433" customFormat="1"/>
    <row r="66" s="433" customFormat="1"/>
    <row r="67" s="433" customFormat="1"/>
    <row r="68" s="433" customFormat="1"/>
    <row r="69" s="433" customFormat="1"/>
    <row r="70" s="433" customFormat="1"/>
    <row r="71" s="433" customFormat="1"/>
    <row r="72" s="433" customFormat="1"/>
    <row r="73" s="433" customFormat="1"/>
    <row r="74" s="433" customFormat="1"/>
    <row r="75" s="433" customFormat="1"/>
    <row r="76" s="433" customFormat="1"/>
    <row r="77" s="433" customFormat="1"/>
    <row r="78" s="433" customFormat="1"/>
    <row r="79" s="433" customFormat="1"/>
    <row r="80" s="433" customFormat="1"/>
    <row r="81" s="433" customFormat="1"/>
    <row r="82" s="433" customFormat="1"/>
    <row r="83" s="433" customFormat="1"/>
    <row r="84" s="433" customFormat="1"/>
    <row r="85" s="433" customFormat="1"/>
    <row r="86" s="433" customFormat="1"/>
    <row r="87" s="433" customFormat="1"/>
    <row r="88" s="433" customFormat="1"/>
    <row r="89" s="433" customFormat="1"/>
    <row r="90" s="433" customFormat="1"/>
    <row r="91" s="433" customFormat="1"/>
    <row r="92" s="433" customFormat="1"/>
    <row r="93" s="433" customFormat="1"/>
    <row r="94" s="433" customFormat="1"/>
    <row r="95" s="433" customFormat="1"/>
    <row r="96" s="433" customFormat="1"/>
    <row r="97" spans="1:31" s="433" customFormat="1"/>
    <row r="98" spans="1:31" s="433" customFormat="1"/>
    <row r="99" spans="1:31" s="433" customFormat="1"/>
    <row r="100" spans="1:31" s="433" customFormat="1"/>
    <row r="101" spans="1:31" s="433" customFormat="1">
      <c r="A101" s="418"/>
      <c r="B101" s="418"/>
      <c r="C101" s="418"/>
      <c r="D101" s="418"/>
      <c r="E101" s="418"/>
      <c r="F101" s="418"/>
      <c r="G101" s="418"/>
      <c r="H101" s="418"/>
      <c r="I101" s="418"/>
      <c r="J101" s="418"/>
      <c r="K101" s="418"/>
      <c r="L101" s="418"/>
      <c r="M101" s="418"/>
      <c r="N101" s="418"/>
      <c r="O101" s="418"/>
      <c r="P101" s="418"/>
      <c r="Q101" s="418"/>
      <c r="R101" s="418"/>
      <c r="S101" s="418"/>
      <c r="T101" s="418"/>
      <c r="U101" s="418"/>
      <c r="V101" s="418"/>
      <c r="W101" s="418"/>
      <c r="X101" s="418"/>
      <c r="Y101" s="418"/>
      <c r="Z101" s="418"/>
      <c r="AA101" s="418"/>
      <c r="AB101" s="418"/>
      <c r="AC101" s="418"/>
      <c r="AD101" s="418"/>
      <c r="AE101" s="418"/>
    </row>
  </sheetData>
  <sheetProtection algorithmName="SHA-512" hashValue="CAxNbZL3HjbbCGkuIvMTSJx69zZlfRws1Nmh+0NykspTEOGS1gk9iILYenAq/DKlvWAM2IutY0f+5KF88JIQmw==" saltValue="M41JKetV+WoAeoQxYuzKbA==" spinCount="100000" sheet="1" objects="1" scenarios="1"/>
  <mergeCells count="45">
    <mergeCell ref="N21:Q21"/>
    <mergeCell ref="R21:Y21"/>
    <mergeCell ref="Z21:AC21"/>
    <mergeCell ref="AD21:AE21"/>
    <mergeCell ref="A1:B1"/>
    <mergeCell ref="A2:AE2"/>
    <mergeCell ref="A3:AE3"/>
    <mergeCell ref="A4:AE4"/>
    <mergeCell ref="A5:AE5"/>
    <mergeCell ref="A6:B6"/>
    <mergeCell ref="D6:P6"/>
    <mergeCell ref="R6:AE6"/>
    <mergeCell ref="A7:B7"/>
    <mergeCell ref="D7:P9"/>
    <mergeCell ref="R7:AE7"/>
    <mergeCell ref="A10:AE10"/>
    <mergeCell ref="A11:AE11"/>
    <mergeCell ref="D12:I12"/>
    <mergeCell ref="K12:P12"/>
    <mergeCell ref="R12:W12"/>
    <mergeCell ref="Y12:AD12"/>
    <mergeCell ref="B17:AD17"/>
    <mergeCell ref="B18:AD18"/>
    <mergeCell ref="D13:I13"/>
    <mergeCell ref="K13:P13"/>
    <mergeCell ref="R13:W13"/>
    <mergeCell ref="Y13:AD13"/>
    <mergeCell ref="A15:AE15"/>
    <mergeCell ref="B16:AD16"/>
    <mergeCell ref="B28:AD28"/>
    <mergeCell ref="A29:Z29"/>
    <mergeCell ref="AA29:AE29"/>
    <mergeCell ref="D19:E19"/>
    <mergeCell ref="A23:AE23"/>
    <mergeCell ref="A24:S24"/>
    <mergeCell ref="T24:AD25"/>
    <mergeCell ref="C25:F25"/>
    <mergeCell ref="G25:S25"/>
    <mergeCell ref="T26:AD26"/>
    <mergeCell ref="F19:M19"/>
    <mergeCell ref="N19:Q19"/>
    <mergeCell ref="R19:AE19"/>
    <mergeCell ref="B20:AE20"/>
    <mergeCell ref="B21:E21"/>
    <mergeCell ref="F21:M21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  <pageSetUpPr fitToPage="1"/>
  </sheetPr>
  <dimension ref="A1:BA470"/>
  <sheetViews>
    <sheetView workbookViewId="0">
      <selection activeCell="A4" sqref="A4:I4"/>
    </sheetView>
  </sheetViews>
  <sheetFormatPr defaultRowHeight="12"/>
  <cols>
    <col min="1" max="6" width="9.140625" style="471"/>
    <col min="7" max="7" width="9.85546875" style="471" customWidth="1"/>
    <col min="8" max="8" width="9.140625" style="471"/>
    <col min="9" max="9" width="12.28515625" style="471" customWidth="1"/>
    <col min="10" max="53" width="9.140625" style="470"/>
    <col min="54" max="16384" width="9.140625" style="471"/>
  </cols>
  <sheetData>
    <row r="1" spans="1:53" ht="15.75" customHeight="1">
      <c r="A1" s="2071" t="s">
        <v>3733</v>
      </c>
      <c r="B1" s="2071"/>
      <c r="C1" s="2071"/>
      <c r="D1" s="2071"/>
      <c r="E1" s="2071"/>
      <c r="F1" s="2071"/>
      <c r="G1" s="2071"/>
      <c r="H1" s="2071"/>
      <c r="I1" s="2071"/>
    </row>
    <row r="2" spans="1:53">
      <c r="A2" s="2071"/>
      <c r="B2" s="2071"/>
      <c r="C2" s="2071"/>
      <c r="D2" s="2071"/>
      <c r="E2" s="2071"/>
      <c r="F2" s="2071"/>
      <c r="G2" s="2071"/>
      <c r="H2" s="2071"/>
      <c r="I2" s="2071"/>
    </row>
    <row r="3" spans="1:53" ht="15" customHeight="1">
      <c r="A3" s="2072" t="s">
        <v>3734</v>
      </c>
      <c r="B3" s="2072"/>
      <c r="C3" s="2072"/>
      <c r="D3" s="2072"/>
      <c r="E3" s="2072"/>
      <c r="F3" s="2072"/>
      <c r="G3" s="2072"/>
      <c r="H3" s="2072"/>
      <c r="I3" s="2072"/>
    </row>
    <row r="4" spans="1:53" ht="18" customHeight="1">
      <c r="A4" s="2073"/>
      <c r="B4" s="2074"/>
      <c r="C4" s="2074"/>
      <c r="D4" s="2074"/>
      <c r="E4" s="2074"/>
      <c r="F4" s="2074"/>
      <c r="G4" s="2074"/>
      <c r="H4" s="2074"/>
      <c r="I4" s="2074"/>
    </row>
    <row r="5" spans="1:53" ht="15" customHeight="1">
      <c r="A5" s="2075" t="s">
        <v>3735</v>
      </c>
      <c r="B5" s="2075"/>
      <c r="C5" s="2075"/>
      <c r="D5" s="2075"/>
      <c r="E5" s="2075"/>
      <c r="F5" s="2075"/>
      <c r="G5" s="2075"/>
      <c r="H5" s="2075"/>
      <c r="I5" s="2075"/>
    </row>
    <row r="6" spans="1:53" ht="18" customHeight="1">
      <c r="A6" s="2076"/>
      <c r="B6" s="2077"/>
      <c r="C6" s="2077"/>
      <c r="D6" s="2077"/>
      <c r="E6" s="2077"/>
      <c r="F6" s="2078" t="s">
        <v>3736</v>
      </c>
      <c r="G6" s="2079"/>
      <c r="H6" s="2080"/>
      <c r="I6" s="2081"/>
    </row>
    <row r="7" spans="1:53" ht="15" customHeight="1">
      <c r="A7" s="2072"/>
      <c r="B7" s="2072"/>
      <c r="C7" s="2072"/>
      <c r="D7" s="2072"/>
      <c r="E7" s="2072"/>
      <c r="F7" s="2072"/>
      <c r="G7" s="2072"/>
      <c r="H7" s="2072"/>
      <c r="I7" s="2072"/>
    </row>
    <row r="8" spans="1:53" ht="18" customHeight="1">
      <c r="A8" s="2084" t="s">
        <v>3737</v>
      </c>
      <c r="B8" s="2084"/>
      <c r="C8" s="2085" t="str">
        <f>+CONCATENATE(ZAKL_DATA!B4," ",ZAKL_DATA!B5)</f>
        <v xml:space="preserve"> </v>
      </c>
      <c r="D8" s="2085"/>
      <c r="E8" s="2085"/>
      <c r="F8" s="2086"/>
      <c r="G8" s="472" t="s">
        <v>3738</v>
      </c>
      <c r="H8" s="2087" t="str">
        <f>+'DAP1'!A9</f>
        <v/>
      </c>
      <c r="I8" s="2088"/>
    </row>
    <row r="9" spans="1:53" ht="15" customHeight="1">
      <c r="A9" s="2072"/>
      <c r="B9" s="2072"/>
      <c r="C9" s="2089" t="s">
        <v>3739</v>
      </c>
      <c r="D9" s="2089"/>
      <c r="E9" s="2089"/>
      <c r="F9" s="2090"/>
      <c r="G9" s="2072"/>
      <c r="H9" s="2091"/>
      <c r="I9" s="2091"/>
    </row>
    <row r="10" spans="1:53" s="475" customFormat="1" ht="18" customHeight="1">
      <c r="A10" s="473" t="s">
        <v>3740</v>
      </c>
      <c r="B10" s="2092" t="str">
        <f>+Prohl_manž!B7</f>
        <v xml:space="preserve"> , , PSČ </v>
      </c>
      <c r="C10" s="2092"/>
      <c r="D10" s="2092"/>
      <c r="E10" s="2092"/>
      <c r="F10" s="2092"/>
      <c r="G10" s="2092"/>
      <c r="H10" s="2092"/>
      <c r="I10" s="2092"/>
      <c r="J10" s="474"/>
      <c r="K10" s="474"/>
      <c r="L10" s="474"/>
      <c r="M10" s="474"/>
      <c r="N10" s="474"/>
      <c r="O10" s="474"/>
      <c r="P10" s="474"/>
      <c r="Q10" s="474"/>
      <c r="R10" s="474"/>
      <c r="S10" s="474"/>
      <c r="T10" s="474"/>
      <c r="U10" s="474"/>
      <c r="V10" s="474"/>
      <c r="W10" s="474"/>
      <c r="X10" s="474"/>
      <c r="Y10" s="474"/>
      <c r="Z10" s="474"/>
      <c r="AA10" s="474"/>
      <c r="AB10" s="474"/>
      <c r="AC10" s="474"/>
      <c r="AD10" s="474"/>
      <c r="AE10" s="474"/>
      <c r="AF10" s="474"/>
      <c r="AG10" s="474"/>
      <c r="AH10" s="474"/>
      <c r="AI10" s="474"/>
      <c r="AJ10" s="474"/>
      <c r="AK10" s="474"/>
      <c r="AL10" s="474"/>
      <c r="AM10" s="474"/>
      <c r="AN10" s="474"/>
      <c r="AO10" s="474"/>
      <c r="AP10" s="474"/>
      <c r="AQ10" s="474"/>
      <c r="AR10" s="474"/>
      <c r="AS10" s="474"/>
      <c r="AT10" s="474"/>
      <c r="AU10" s="474"/>
      <c r="AV10" s="474"/>
      <c r="AW10" s="474"/>
      <c r="AX10" s="474"/>
      <c r="AY10" s="474"/>
      <c r="AZ10" s="474"/>
      <c r="BA10" s="474"/>
    </row>
    <row r="11" spans="1:53" ht="15" customHeight="1">
      <c r="A11" s="2072"/>
      <c r="B11" s="2072"/>
      <c r="C11" s="2072"/>
      <c r="D11" s="2072"/>
      <c r="E11" s="2072"/>
      <c r="F11" s="2072"/>
      <c r="G11" s="2072"/>
      <c r="H11" s="2072"/>
      <c r="I11" s="2072"/>
    </row>
    <row r="12" spans="1:53" s="475" customFormat="1" ht="18" customHeight="1">
      <c r="A12" s="2084" t="s">
        <v>3741</v>
      </c>
      <c r="B12" s="2084"/>
      <c r="C12" s="2084"/>
      <c r="D12" s="2093">
        <f>+'DAP1'!F24</f>
        <v>2021</v>
      </c>
      <c r="E12" s="2093"/>
      <c r="F12" s="2084" t="s">
        <v>3742</v>
      </c>
      <c r="G12" s="2084"/>
      <c r="H12" s="2084"/>
      <c r="I12" s="2084"/>
      <c r="J12" s="474"/>
      <c r="K12" s="474"/>
      <c r="L12" s="474"/>
      <c r="M12" s="474"/>
      <c r="N12" s="474"/>
      <c r="O12" s="474"/>
      <c r="P12" s="474"/>
      <c r="Q12" s="474"/>
      <c r="R12" s="474"/>
      <c r="S12" s="474"/>
      <c r="T12" s="474"/>
      <c r="U12" s="474"/>
      <c r="V12" s="474"/>
      <c r="W12" s="474"/>
      <c r="X12" s="474"/>
      <c r="Y12" s="474"/>
      <c r="Z12" s="474"/>
      <c r="AA12" s="474"/>
      <c r="AB12" s="474"/>
      <c r="AC12" s="474"/>
      <c r="AD12" s="474"/>
      <c r="AE12" s="474"/>
      <c r="AF12" s="474"/>
      <c r="AG12" s="474"/>
      <c r="AH12" s="474"/>
      <c r="AI12" s="474"/>
      <c r="AJ12" s="474"/>
      <c r="AK12" s="474"/>
      <c r="AL12" s="474"/>
      <c r="AM12" s="474"/>
      <c r="AN12" s="474"/>
      <c r="AO12" s="474"/>
      <c r="AP12" s="474"/>
      <c r="AQ12" s="474"/>
      <c r="AR12" s="474"/>
      <c r="AS12" s="474"/>
      <c r="AT12" s="474"/>
      <c r="AU12" s="474"/>
      <c r="AV12" s="474"/>
      <c r="AW12" s="474"/>
      <c r="AX12" s="474"/>
      <c r="AY12" s="474"/>
      <c r="AZ12" s="474"/>
      <c r="BA12" s="474"/>
    </row>
    <row r="13" spans="1:53" s="475" customFormat="1" ht="18" customHeight="1">
      <c r="A13" s="2082" t="s">
        <v>3743</v>
      </c>
      <c r="B13" s="2082"/>
      <c r="C13" s="2082"/>
      <c r="D13" s="2082"/>
      <c r="E13" s="2082"/>
      <c r="F13" s="2082"/>
      <c r="G13" s="2083" t="s">
        <v>3744</v>
      </c>
      <c r="H13" s="2083"/>
      <c r="I13" s="2083"/>
      <c r="J13" s="474"/>
      <c r="K13" s="474"/>
      <c r="L13" s="474"/>
      <c r="M13" s="474"/>
      <c r="N13" s="474"/>
      <c r="O13" s="474"/>
      <c r="P13" s="474"/>
      <c r="Q13" s="474"/>
      <c r="R13" s="474"/>
      <c r="S13" s="474"/>
      <c r="T13" s="474"/>
      <c r="U13" s="474"/>
      <c r="V13" s="474"/>
      <c r="W13" s="474"/>
      <c r="X13" s="474"/>
      <c r="Y13" s="474"/>
      <c r="Z13" s="474"/>
      <c r="AA13" s="474"/>
      <c r="AB13" s="474"/>
      <c r="AC13" s="474"/>
      <c r="AD13" s="474"/>
      <c r="AE13" s="474"/>
      <c r="AF13" s="474"/>
      <c r="AG13" s="474"/>
      <c r="AH13" s="474"/>
      <c r="AI13" s="474"/>
      <c r="AJ13" s="474"/>
      <c r="AK13" s="474"/>
      <c r="AL13" s="474"/>
      <c r="AM13" s="474"/>
      <c r="AN13" s="474"/>
      <c r="AO13" s="474"/>
      <c r="AP13" s="474"/>
      <c r="AQ13" s="474"/>
      <c r="AR13" s="474"/>
      <c r="AS13" s="474"/>
      <c r="AT13" s="474"/>
      <c r="AU13" s="474"/>
      <c r="AV13" s="474"/>
      <c r="AW13" s="474"/>
      <c r="AX13" s="474"/>
      <c r="AY13" s="474"/>
      <c r="AZ13" s="474"/>
      <c r="BA13" s="474"/>
    </row>
    <row r="14" spans="1:53" s="475" customFormat="1" ht="18" customHeight="1">
      <c r="A14" s="2084" t="s">
        <v>3745</v>
      </c>
      <c r="B14" s="2084"/>
      <c r="C14" s="2084"/>
      <c r="D14" s="2084"/>
      <c r="E14" s="2084"/>
      <c r="F14" s="2084"/>
      <c r="G14" s="2084"/>
      <c r="H14" s="2084"/>
      <c r="I14" s="2084"/>
      <c r="J14" s="474"/>
      <c r="K14" s="474"/>
      <c r="L14" s="474"/>
      <c r="M14" s="474"/>
      <c r="N14" s="474"/>
      <c r="O14" s="474"/>
      <c r="P14" s="474"/>
      <c r="Q14" s="474"/>
      <c r="R14" s="474"/>
      <c r="S14" s="474"/>
      <c r="T14" s="474"/>
      <c r="U14" s="474"/>
      <c r="V14" s="474"/>
      <c r="W14" s="474"/>
      <c r="X14" s="474"/>
      <c r="Y14" s="474"/>
      <c r="Z14" s="474"/>
      <c r="AA14" s="474"/>
      <c r="AB14" s="474"/>
      <c r="AC14" s="474"/>
      <c r="AD14" s="474"/>
      <c r="AE14" s="474"/>
      <c r="AF14" s="474"/>
      <c r="AG14" s="474"/>
      <c r="AH14" s="474"/>
      <c r="AI14" s="474"/>
      <c r="AJ14" s="474"/>
      <c r="AK14" s="474"/>
      <c r="AL14" s="474"/>
      <c r="AM14" s="474"/>
      <c r="AN14" s="474"/>
      <c r="AO14" s="474"/>
      <c r="AP14" s="474"/>
      <c r="AQ14" s="474"/>
      <c r="AR14" s="474"/>
      <c r="AS14" s="474"/>
      <c r="AT14" s="474"/>
      <c r="AU14" s="474"/>
      <c r="AV14" s="474"/>
      <c r="AW14" s="474"/>
      <c r="AX14" s="474"/>
      <c r="AY14" s="474"/>
      <c r="AZ14" s="474"/>
      <c r="BA14" s="474"/>
    </row>
    <row r="15" spans="1:53" s="478" customFormat="1" ht="18" customHeight="1">
      <c r="A15" s="2094">
        <f>+'DAP2'!E4</f>
        <v>0</v>
      </c>
      <c r="B15" s="2094"/>
      <c r="C15" s="2094"/>
      <c r="D15" s="476" t="s">
        <v>3746</v>
      </c>
      <c r="E15" s="2095"/>
      <c r="F15" s="2095"/>
      <c r="G15" s="2095"/>
      <c r="H15" s="2095"/>
      <c r="I15" s="2095"/>
      <c r="J15" s="477"/>
      <c r="K15" s="477"/>
      <c r="L15" s="477"/>
      <c r="M15" s="477"/>
      <c r="N15" s="477"/>
      <c r="O15" s="477"/>
      <c r="P15" s="477"/>
      <c r="Q15" s="477"/>
      <c r="R15" s="477"/>
      <c r="S15" s="477"/>
      <c r="T15" s="477"/>
      <c r="U15" s="477"/>
      <c r="V15" s="477"/>
      <c r="W15" s="477"/>
      <c r="X15" s="477"/>
      <c r="Y15" s="477"/>
      <c r="Z15" s="477"/>
      <c r="AA15" s="477"/>
      <c r="AB15" s="477"/>
      <c r="AC15" s="477"/>
      <c r="AD15" s="477"/>
      <c r="AE15" s="477"/>
      <c r="AF15" s="477"/>
      <c r="AG15" s="477"/>
      <c r="AH15" s="477"/>
      <c r="AI15" s="477"/>
      <c r="AJ15" s="477"/>
      <c r="AK15" s="477"/>
      <c r="AL15" s="477"/>
      <c r="AM15" s="477"/>
      <c r="AN15" s="477"/>
      <c r="AO15" s="477"/>
      <c r="AP15" s="477"/>
      <c r="AQ15" s="477"/>
      <c r="AR15" s="477"/>
      <c r="AS15" s="477"/>
      <c r="AT15" s="477"/>
      <c r="AU15" s="477"/>
      <c r="AV15" s="477"/>
      <c r="AW15" s="477"/>
      <c r="AX15" s="477"/>
      <c r="AY15" s="477"/>
      <c r="AZ15" s="477"/>
      <c r="BA15" s="477"/>
    </row>
    <row r="16" spans="1:53" ht="15" customHeight="1">
      <c r="A16" s="2096"/>
      <c r="B16" s="2096"/>
      <c r="C16" s="2096"/>
      <c r="D16" s="2096"/>
      <c r="E16" s="2096"/>
      <c r="F16" s="2096"/>
      <c r="G16" s="2096"/>
      <c r="H16" s="2096"/>
      <c r="I16" s="2096"/>
    </row>
    <row r="17" spans="1:53" ht="15" customHeight="1">
      <c r="A17" s="2096"/>
      <c r="B17" s="2096"/>
      <c r="C17" s="2096"/>
      <c r="D17" s="2096"/>
      <c r="E17" s="2096"/>
      <c r="F17" s="2096"/>
      <c r="G17" s="2096"/>
      <c r="H17" s="2096"/>
      <c r="I17" s="2096"/>
    </row>
    <row r="18" spans="1:53" ht="15" customHeight="1">
      <c r="A18" s="2096"/>
      <c r="B18" s="2096"/>
      <c r="C18" s="2096"/>
      <c r="D18" s="2096"/>
      <c r="E18" s="2096"/>
      <c r="F18" s="2096"/>
      <c r="G18" s="2096"/>
      <c r="H18" s="2096"/>
      <c r="I18" s="2096"/>
    </row>
    <row r="19" spans="1:53" ht="15" customHeight="1">
      <c r="A19" s="2096"/>
      <c r="B19" s="2096"/>
      <c r="C19" s="2096"/>
      <c r="D19" s="2096"/>
      <c r="E19" s="2096"/>
      <c r="F19" s="2096"/>
      <c r="G19" s="2096"/>
      <c r="H19" s="2096"/>
      <c r="I19" s="2096"/>
    </row>
    <row r="20" spans="1:53" s="475" customFormat="1" ht="15" customHeight="1">
      <c r="A20" s="473" t="s">
        <v>3747</v>
      </c>
      <c r="B20" s="2097">
        <f ca="1">TODAY()</f>
        <v>44720</v>
      </c>
      <c r="C20" s="2097"/>
      <c r="D20" s="2098"/>
      <c r="E20" s="2098"/>
      <c r="F20" s="2098"/>
      <c r="G20" s="2098"/>
      <c r="H20" s="2098"/>
      <c r="I20" s="2098"/>
      <c r="J20" s="474"/>
      <c r="K20" s="474"/>
      <c r="L20" s="474"/>
      <c r="M20" s="474"/>
      <c r="N20" s="474"/>
      <c r="O20" s="474"/>
      <c r="P20" s="474"/>
      <c r="Q20" s="474"/>
      <c r="R20" s="474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4"/>
      <c r="AV20" s="474"/>
      <c r="AW20" s="474"/>
      <c r="AX20" s="474"/>
      <c r="AY20" s="474"/>
      <c r="AZ20" s="474"/>
      <c r="BA20" s="474"/>
    </row>
    <row r="21" spans="1:53" ht="15" customHeight="1">
      <c r="A21" s="2100" t="s">
        <v>3748</v>
      </c>
      <c r="B21" s="2100"/>
      <c r="C21" s="2100"/>
      <c r="D21" s="2100"/>
      <c r="E21" s="2100"/>
      <c r="F21" s="2100"/>
      <c r="G21" s="2100"/>
      <c r="H21" s="2100"/>
      <c r="I21" s="2100"/>
    </row>
    <row r="22" spans="1:53" ht="15" customHeight="1">
      <c r="A22" s="2072"/>
      <c r="B22" s="2072"/>
      <c r="C22" s="2072"/>
      <c r="D22" s="2072"/>
      <c r="E22" s="2072"/>
      <c r="F22" s="2072"/>
      <c r="G22" s="2072"/>
      <c r="H22" s="2072"/>
      <c r="I22" s="2072"/>
    </row>
    <row r="23" spans="1:53" s="475" customFormat="1" ht="15" customHeight="1">
      <c r="A23" s="2084" t="s">
        <v>3749</v>
      </c>
      <c r="B23" s="2084"/>
      <c r="C23" s="2084"/>
      <c r="D23" s="2101"/>
      <c r="E23" s="2101"/>
      <c r="F23" s="2101"/>
      <c r="G23" s="480" t="s">
        <v>3750</v>
      </c>
      <c r="H23" s="2102"/>
      <c r="I23" s="2102"/>
      <c r="J23" s="474"/>
      <c r="K23" s="474"/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4"/>
      <c r="AV23" s="474"/>
      <c r="AW23" s="474"/>
      <c r="AX23" s="474"/>
      <c r="AY23" s="474"/>
      <c r="AZ23" s="474"/>
      <c r="BA23" s="474"/>
    </row>
    <row r="24" spans="1:53" ht="15" customHeight="1">
      <c r="A24" s="2072"/>
      <c r="B24" s="2072"/>
      <c r="C24" s="2072"/>
      <c r="D24" s="2089" t="s">
        <v>3739</v>
      </c>
      <c r="E24" s="2089"/>
      <c r="F24" s="2089"/>
      <c r="G24" s="2072"/>
      <c r="H24" s="2072"/>
      <c r="I24" s="2072"/>
    </row>
    <row r="25" spans="1:53">
      <c r="A25" s="2072"/>
      <c r="B25" s="2072"/>
      <c r="C25" s="2072"/>
      <c r="D25" s="2072"/>
      <c r="E25" s="2072"/>
      <c r="F25" s="2072"/>
      <c r="G25" s="2072"/>
      <c r="H25" s="2072"/>
      <c r="I25" s="2072"/>
    </row>
    <row r="26" spans="1:53">
      <c r="A26" s="2072"/>
      <c r="B26" s="2072"/>
      <c r="C26" s="2072"/>
      <c r="D26" s="2072"/>
      <c r="E26" s="2072"/>
      <c r="F26" s="2072"/>
      <c r="G26" s="2072"/>
      <c r="H26" s="2072"/>
      <c r="I26" s="2072"/>
    </row>
    <row r="27" spans="1:53">
      <c r="A27" s="2072"/>
      <c r="B27" s="2072"/>
      <c r="C27" s="2072"/>
      <c r="D27" s="2072"/>
      <c r="E27" s="2072"/>
      <c r="F27" s="2072"/>
      <c r="G27" s="2072"/>
      <c r="H27" s="2072"/>
      <c r="I27" s="2072"/>
    </row>
    <row r="28" spans="1:53">
      <c r="A28" s="2072"/>
      <c r="B28" s="2072"/>
      <c r="C28" s="2072"/>
      <c r="D28" s="2072"/>
      <c r="E28" s="2072"/>
      <c r="F28" s="2072"/>
      <c r="G28" s="2072"/>
      <c r="H28" s="2072"/>
      <c r="I28" s="2072"/>
    </row>
    <row r="29" spans="1:53">
      <c r="A29" s="2072"/>
      <c r="B29" s="2072"/>
      <c r="C29" s="2072"/>
      <c r="D29" s="2072"/>
      <c r="E29" s="2072"/>
      <c r="F29" s="2072"/>
      <c r="G29" s="2072"/>
      <c r="H29" s="2072"/>
      <c r="I29" s="2072"/>
    </row>
    <row r="30" spans="1:53">
      <c r="A30" s="2072"/>
      <c r="B30" s="2072"/>
      <c r="C30" s="2072"/>
      <c r="D30" s="2072"/>
      <c r="E30" s="2072"/>
      <c r="F30" s="2072"/>
      <c r="G30" s="2072"/>
      <c r="H30" s="2072"/>
      <c r="I30" s="2072"/>
    </row>
    <row r="31" spans="1:53">
      <c r="A31" s="2072"/>
      <c r="B31" s="2072"/>
      <c r="C31" s="2072"/>
      <c r="D31" s="2072"/>
      <c r="E31" s="2072"/>
      <c r="F31" s="2072"/>
      <c r="G31" s="2072"/>
      <c r="H31" s="2072"/>
      <c r="I31" s="2072"/>
    </row>
    <row r="32" spans="1:53">
      <c r="A32" s="2072"/>
      <c r="B32" s="2072"/>
      <c r="C32" s="2072"/>
      <c r="D32" s="2072"/>
      <c r="E32" s="2072"/>
      <c r="F32" s="2072"/>
      <c r="G32" s="2072"/>
      <c r="H32" s="2072"/>
      <c r="I32" s="2072"/>
    </row>
    <row r="33" spans="1:9">
      <c r="A33" s="2072"/>
      <c r="B33" s="2072"/>
      <c r="C33" s="2072"/>
      <c r="D33" s="2072"/>
      <c r="E33" s="2072"/>
      <c r="F33" s="2072"/>
      <c r="G33" s="2072"/>
      <c r="H33" s="2072"/>
      <c r="I33" s="2072"/>
    </row>
    <row r="34" spans="1:9">
      <c r="A34" s="2072"/>
      <c r="B34" s="2072"/>
      <c r="C34" s="2072"/>
      <c r="D34" s="2072"/>
      <c r="E34" s="2072"/>
      <c r="F34" s="2072"/>
      <c r="G34" s="2072"/>
      <c r="H34" s="2072"/>
      <c r="I34" s="2072"/>
    </row>
    <row r="35" spans="1:9">
      <c r="A35" s="2072"/>
      <c r="B35" s="2072"/>
      <c r="C35" s="2072"/>
      <c r="D35" s="2072"/>
      <c r="E35" s="2072"/>
      <c r="F35" s="2072"/>
      <c r="G35" s="2072"/>
      <c r="H35" s="2072"/>
      <c r="I35" s="2072"/>
    </row>
    <row r="36" spans="1:9">
      <c r="A36" s="2072"/>
      <c r="B36" s="2072"/>
      <c r="C36" s="2072"/>
      <c r="D36" s="2072"/>
      <c r="E36" s="2072"/>
      <c r="F36" s="2072"/>
      <c r="G36" s="2072"/>
      <c r="H36" s="2072"/>
      <c r="I36" s="2072"/>
    </row>
    <row r="37" spans="1:9">
      <c r="A37" s="2072"/>
      <c r="B37" s="2072"/>
      <c r="C37" s="2072"/>
      <c r="D37" s="2072"/>
      <c r="E37" s="2072"/>
      <c r="F37" s="2072"/>
      <c r="G37" s="2072"/>
      <c r="H37" s="2072"/>
      <c r="I37" s="2072"/>
    </row>
    <row r="38" spans="1:9">
      <c r="A38" s="2072"/>
      <c r="B38" s="2072"/>
      <c r="C38" s="2072"/>
      <c r="D38" s="2072"/>
      <c r="E38" s="2072"/>
      <c r="F38" s="2072"/>
      <c r="G38" s="2072"/>
      <c r="H38" s="2072"/>
      <c r="I38" s="2072"/>
    </row>
    <row r="39" spans="1:9">
      <c r="A39" s="2072"/>
      <c r="B39" s="2072"/>
      <c r="C39" s="2072"/>
      <c r="D39" s="2072"/>
      <c r="E39" s="2072"/>
      <c r="F39" s="2072"/>
      <c r="G39" s="2072"/>
      <c r="H39" s="2072"/>
      <c r="I39" s="2072"/>
    </row>
    <row r="40" spans="1:9">
      <c r="A40" s="2072"/>
      <c r="B40" s="2072"/>
      <c r="C40" s="2072"/>
      <c r="D40" s="2072"/>
      <c r="E40" s="2072"/>
      <c r="F40" s="2072"/>
      <c r="G40" s="2072"/>
      <c r="H40" s="2072"/>
      <c r="I40" s="2072"/>
    </row>
    <row r="41" spans="1:9">
      <c r="A41" s="2072"/>
      <c r="B41" s="2072"/>
      <c r="C41" s="2072"/>
      <c r="D41" s="2072"/>
      <c r="E41" s="2072"/>
      <c r="F41" s="2072"/>
      <c r="G41" s="2072"/>
      <c r="H41" s="2072"/>
      <c r="I41" s="2072"/>
    </row>
    <row r="42" spans="1:9">
      <c r="A42" s="2072"/>
      <c r="B42" s="2072"/>
      <c r="C42" s="2072"/>
      <c r="D42" s="2072"/>
      <c r="E42" s="2072"/>
      <c r="F42" s="2072"/>
      <c r="G42" s="2072"/>
      <c r="H42" s="2072"/>
      <c r="I42" s="2072"/>
    </row>
    <row r="43" spans="1:9">
      <c r="A43" s="2072"/>
      <c r="B43" s="2072"/>
      <c r="C43" s="2072"/>
      <c r="D43" s="2072"/>
      <c r="E43" s="2072"/>
      <c r="F43" s="2072"/>
      <c r="G43" s="2072"/>
      <c r="H43" s="2072"/>
      <c r="I43" s="2072"/>
    </row>
    <row r="44" spans="1:9">
      <c r="A44" s="2072"/>
      <c r="B44" s="2072"/>
      <c r="C44" s="2072"/>
      <c r="D44" s="2072"/>
      <c r="E44" s="2072"/>
      <c r="F44" s="2072"/>
      <c r="G44" s="2072"/>
      <c r="H44" s="2072"/>
      <c r="I44" s="2072"/>
    </row>
    <row r="45" spans="1:9">
      <c r="A45" s="2072"/>
      <c r="B45" s="2072"/>
      <c r="C45" s="2072"/>
      <c r="D45" s="2072"/>
      <c r="E45" s="2072"/>
      <c r="F45" s="2072"/>
      <c r="G45" s="2072"/>
      <c r="H45" s="2072"/>
      <c r="I45" s="2072"/>
    </row>
    <row r="46" spans="1:9">
      <c r="A46" s="2072"/>
      <c r="B46" s="2072"/>
      <c r="C46" s="2072"/>
      <c r="D46" s="2072"/>
      <c r="E46" s="2072"/>
      <c r="F46" s="2072"/>
      <c r="G46" s="2072"/>
      <c r="H46" s="2072"/>
      <c r="I46" s="2072"/>
    </row>
    <row r="47" spans="1:9">
      <c r="A47" s="2072"/>
      <c r="B47" s="2072"/>
      <c r="C47" s="2072"/>
      <c r="D47" s="2072"/>
      <c r="E47" s="2072"/>
      <c r="F47" s="2072"/>
      <c r="G47" s="2072"/>
      <c r="H47" s="2072"/>
      <c r="I47" s="2072"/>
    </row>
    <row r="48" spans="1:9">
      <c r="A48" s="2072"/>
      <c r="B48" s="2072"/>
      <c r="C48" s="2072"/>
      <c r="D48" s="2072"/>
      <c r="E48" s="2072"/>
      <c r="F48" s="2072"/>
      <c r="G48" s="2072"/>
      <c r="H48" s="2072"/>
      <c r="I48" s="2072"/>
    </row>
    <row r="49" spans="1:9">
      <c r="A49" s="2072"/>
      <c r="B49" s="2072"/>
      <c r="C49" s="2072"/>
      <c r="D49" s="2072"/>
      <c r="E49" s="2072"/>
      <c r="F49" s="2072"/>
      <c r="G49" s="2072"/>
      <c r="H49" s="2072"/>
      <c r="I49" s="2072"/>
    </row>
    <row r="50" spans="1:9">
      <c r="A50" s="2072"/>
      <c r="B50" s="2072"/>
      <c r="C50" s="2072"/>
      <c r="D50" s="2072"/>
      <c r="E50" s="2072"/>
      <c r="F50" s="2072"/>
      <c r="G50" s="2072"/>
      <c r="H50" s="2072"/>
      <c r="I50" s="2072"/>
    </row>
    <row r="51" spans="1:9">
      <c r="A51" s="2072"/>
      <c r="B51" s="2072"/>
      <c r="C51" s="2072"/>
      <c r="D51" s="2072"/>
      <c r="E51" s="2072"/>
      <c r="F51" s="2072"/>
      <c r="G51" s="2072"/>
      <c r="H51" s="2072"/>
      <c r="I51" s="2072"/>
    </row>
    <row r="52" spans="1:9">
      <c r="A52" s="479" t="s">
        <v>3751</v>
      </c>
      <c r="B52" s="479"/>
      <c r="C52" s="479"/>
      <c r="D52" s="479"/>
      <c r="E52" s="479"/>
      <c r="F52" s="479"/>
      <c r="G52" s="479"/>
      <c r="H52" s="479"/>
      <c r="I52" s="479"/>
    </row>
    <row r="53" spans="1:9" ht="38.25" customHeight="1">
      <c r="A53" s="2099" t="s">
        <v>3752</v>
      </c>
      <c r="B53" s="2099"/>
      <c r="C53" s="2099"/>
      <c r="D53" s="2099"/>
      <c r="E53" s="2099"/>
      <c r="F53" s="2099"/>
      <c r="G53" s="2099"/>
      <c r="H53" s="2099"/>
      <c r="I53" s="2099"/>
    </row>
    <row r="54" spans="1:9" s="470" customFormat="1"/>
    <row r="55" spans="1:9" s="470" customFormat="1"/>
    <row r="56" spans="1:9" s="470" customFormat="1"/>
    <row r="57" spans="1:9" s="470" customFormat="1"/>
    <row r="58" spans="1:9" s="470" customFormat="1"/>
    <row r="59" spans="1:9" s="470" customFormat="1"/>
    <row r="60" spans="1:9" s="470" customFormat="1"/>
    <row r="61" spans="1:9" s="470" customFormat="1"/>
    <row r="62" spans="1:9" s="470" customFormat="1"/>
    <row r="63" spans="1:9" s="470" customFormat="1"/>
    <row r="64" spans="1:9" s="470" customFormat="1"/>
    <row r="65" s="470" customFormat="1"/>
    <row r="66" s="470" customFormat="1"/>
    <row r="67" s="470" customFormat="1"/>
    <row r="68" s="470" customFormat="1"/>
    <row r="69" s="470" customFormat="1"/>
    <row r="70" s="470" customFormat="1"/>
    <row r="71" s="470" customFormat="1"/>
    <row r="72" s="470" customFormat="1"/>
    <row r="73" s="470" customFormat="1"/>
    <row r="74" s="470" customFormat="1"/>
    <row r="75" s="470" customFormat="1"/>
    <row r="76" s="470" customFormat="1"/>
    <row r="77" s="470" customFormat="1"/>
    <row r="78" s="470" customFormat="1"/>
    <row r="79" s="470" customFormat="1"/>
    <row r="80" s="470" customFormat="1"/>
    <row r="81" s="470" customFormat="1"/>
    <row r="82" s="470" customFormat="1"/>
    <row r="83" s="470" customFormat="1"/>
    <row r="84" s="470" customFormat="1"/>
    <row r="85" s="470" customFormat="1"/>
    <row r="86" s="470" customFormat="1"/>
    <row r="87" s="470" customFormat="1"/>
    <row r="88" s="470" customFormat="1"/>
    <row r="89" s="470" customFormat="1"/>
    <row r="90" s="470" customFormat="1"/>
    <row r="91" s="470" customFormat="1"/>
    <row r="92" s="470" customFormat="1"/>
    <row r="93" s="470" customFormat="1"/>
    <row r="94" s="470" customFormat="1"/>
    <row r="95" s="470" customFormat="1"/>
    <row r="96" s="470" customFormat="1"/>
    <row r="97" s="470" customFormat="1"/>
    <row r="98" s="470" customFormat="1"/>
    <row r="99" s="470" customFormat="1"/>
    <row r="100" s="470" customFormat="1"/>
    <row r="101" s="470" customFormat="1"/>
    <row r="102" s="470" customFormat="1"/>
    <row r="103" s="470" customFormat="1"/>
    <row r="104" s="470" customFormat="1"/>
    <row r="105" s="470" customFormat="1"/>
    <row r="106" s="470" customFormat="1"/>
    <row r="107" s="470" customFormat="1"/>
    <row r="108" s="470" customFormat="1"/>
    <row r="109" s="470" customFormat="1"/>
    <row r="110" s="470" customFormat="1"/>
    <row r="111" s="470" customFormat="1"/>
    <row r="112" s="470" customFormat="1"/>
    <row r="113" s="470" customFormat="1"/>
    <row r="114" s="470" customFormat="1"/>
    <row r="115" s="470" customFormat="1"/>
    <row r="116" s="470" customFormat="1"/>
    <row r="117" s="470" customFormat="1"/>
    <row r="118" s="470" customFormat="1"/>
    <row r="119" s="470" customFormat="1"/>
    <row r="120" s="470" customFormat="1"/>
    <row r="121" s="470" customFormat="1"/>
    <row r="122" s="470" customFormat="1"/>
    <row r="123" s="470" customFormat="1"/>
    <row r="124" s="470" customFormat="1"/>
    <row r="125" s="470" customFormat="1"/>
    <row r="126" s="470" customFormat="1"/>
    <row r="127" s="470" customFormat="1"/>
    <row r="128" s="470" customFormat="1"/>
    <row r="129" s="470" customFormat="1"/>
    <row r="130" s="470" customFormat="1"/>
    <row r="131" s="470" customFormat="1"/>
    <row r="132" s="470" customFormat="1"/>
    <row r="133" s="470" customFormat="1"/>
    <row r="134" s="470" customFormat="1"/>
    <row r="135" s="470" customFormat="1"/>
    <row r="136" s="470" customFormat="1"/>
    <row r="137" s="470" customFormat="1"/>
    <row r="138" s="470" customFormat="1"/>
    <row r="139" s="470" customFormat="1"/>
    <row r="140" s="470" customFormat="1"/>
    <row r="141" s="470" customFormat="1"/>
    <row r="142" s="470" customFormat="1"/>
    <row r="143" s="470" customFormat="1"/>
    <row r="144" s="470" customFormat="1"/>
    <row r="145" s="470" customFormat="1"/>
    <row r="146" s="470" customFormat="1"/>
    <row r="147" s="470" customFormat="1"/>
    <row r="148" s="470" customFormat="1"/>
    <row r="149" s="470" customFormat="1"/>
    <row r="150" s="470" customFormat="1"/>
    <row r="151" s="470" customFormat="1"/>
    <row r="152" s="470" customFormat="1"/>
    <row r="153" s="470" customFormat="1"/>
    <row r="154" s="470" customFormat="1"/>
    <row r="155" s="470" customFormat="1"/>
    <row r="156" s="470" customFormat="1"/>
    <row r="157" s="470" customFormat="1"/>
    <row r="158" s="470" customFormat="1"/>
    <row r="159" s="470" customFormat="1"/>
    <row r="160" s="470" customFormat="1"/>
    <row r="161" s="470" customFormat="1"/>
    <row r="162" s="470" customFormat="1"/>
    <row r="163" s="470" customFormat="1"/>
    <row r="164" s="470" customFormat="1"/>
    <row r="165" s="470" customFormat="1"/>
    <row r="166" s="470" customFormat="1"/>
    <row r="167" s="470" customFormat="1"/>
    <row r="168" s="470" customFormat="1"/>
    <row r="169" s="470" customFormat="1"/>
    <row r="170" s="470" customFormat="1"/>
    <row r="171" s="470" customFormat="1"/>
    <row r="172" s="470" customFormat="1"/>
    <row r="173" s="470" customFormat="1"/>
    <row r="174" s="470" customFormat="1"/>
    <row r="175" s="470" customFormat="1"/>
    <row r="176" s="470" customFormat="1"/>
    <row r="177" s="470" customFormat="1"/>
    <row r="178" s="470" customFormat="1"/>
    <row r="179" s="470" customFormat="1"/>
    <row r="180" s="470" customFormat="1"/>
    <row r="181" s="470" customFormat="1"/>
    <row r="182" s="470" customFormat="1"/>
    <row r="183" s="470" customFormat="1"/>
    <row r="184" s="470" customFormat="1"/>
    <row r="185" s="470" customFormat="1"/>
    <row r="186" s="470" customFormat="1"/>
    <row r="187" s="470" customFormat="1"/>
    <row r="188" s="470" customFormat="1"/>
    <row r="189" s="470" customFormat="1"/>
    <row r="190" s="470" customFormat="1"/>
    <row r="191" s="470" customFormat="1"/>
    <row r="192" s="470" customFormat="1"/>
    <row r="193" s="470" customFormat="1"/>
    <row r="194" s="470" customFormat="1"/>
    <row r="195" s="470" customFormat="1"/>
    <row r="196" s="470" customFormat="1"/>
    <row r="197" s="470" customFormat="1"/>
    <row r="198" s="470" customFormat="1"/>
    <row r="199" s="470" customFormat="1"/>
    <row r="200" s="470" customFormat="1"/>
    <row r="201" s="470" customFormat="1"/>
    <row r="202" s="470" customFormat="1"/>
    <row r="203" s="470" customFormat="1"/>
    <row r="204" s="470" customFormat="1"/>
    <row r="205" s="470" customFormat="1"/>
    <row r="206" s="470" customFormat="1"/>
    <row r="207" s="470" customFormat="1"/>
    <row r="208" s="470" customFormat="1"/>
    <row r="209" s="470" customFormat="1"/>
    <row r="210" s="470" customFormat="1"/>
    <row r="211" s="470" customFormat="1"/>
    <row r="212" s="470" customFormat="1"/>
    <row r="213" s="470" customFormat="1"/>
    <row r="214" s="470" customFormat="1"/>
    <row r="215" s="470" customFormat="1"/>
    <row r="216" s="470" customFormat="1"/>
    <row r="217" s="470" customFormat="1"/>
    <row r="218" s="470" customFormat="1"/>
    <row r="219" s="470" customFormat="1"/>
    <row r="220" s="470" customFormat="1"/>
    <row r="221" s="470" customFormat="1"/>
    <row r="222" s="470" customFormat="1"/>
    <row r="223" s="470" customFormat="1"/>
    <row r="224" s="470" customFormat="1"/>
    <row r="225" s="470" customFormat="1"/>
    <row r="226" s="470" customFormat="1"/>
    <row r="227" s="470" customFormat="1"/>
    <row r="228" s="470" customFormat="1"/>
    <row r="229" s="470" customFormat="1"/>
    <row r="230" s="470" customFormat="1"/>
    <row r="231" s="470" customFormat="1"/>
    <row r="232" s="470" customFormat="1"/>
    <row r="233" s="470" customFormat="1"/>
    <row r="234" s="470" customFormat="1"/>
    <row r="235" s="470" customFormat="1"/>
    <row r="236" s="470" customFormat="1"/>
    <row r="237" s="470" customFormat="1"/>
    <row r="238" s="470" customFormat="1"/>
    <row r="239" s="470" customFormat="1"/>
    <row r="240" s="470" customFormat="1"/>
    <row r="241" s="470" customFormat="1"/>
    <row r="242" s="470" customFormat="1"/>
    <row r="243" s="470" customFormat="1"/>
    <row r="244" s="470" customFormat="1"/>
    <row r="245" s="470" customFormat="1"/>
    <row r="246" s="470" customFormat="1"/>
    <row r="247" s="470" customFormat="1"/>
    <row r="248" s="470" customFormat="1"/>
    <row r="249" s="470" customFormat="1"/>
    <row r="250" s="470" customFormat="1"/>
    <row r="251" s="470" customFormat="1"/>
    <row r="252" s="470" customFormat="1"/>
    <row r="253" s="470" customFormat="1"/>
    <row r="254" s="470" customFormat="1"/>
    <row r="255" s="470" customFormat="1"/>
    <row r="256" s="470" customFormat="1"/>
    <row r="257" s="470" customFormat="1"/>
    <row r="258" s="470" customFormat="1"/>
    <row r="259" s="470" customFormat="1"/>
    <row r="260" s="470" customFormat="1"/>
    <row r="261" s="470" customFormat="1"/>
    <row r="262" s="470" customFormat="1"/>
    <row r="263" s="470" customFormat="1"/>
    <row r="264" s="470" customFormat="1"/>
    <row r="265" s="470" customFormat="1"/>
    <row r="266" s="470" customFormat="1"/>
    <row r="267" s="470" customFormat="1"/>
    <row r="268" s="470" customFormat="1"/>
    <row r="269" s="470" customFormat="1"/>
    <row r="270" s="470" customFormat="1"/>
    <row r="271" s="470" customFormat="1"/>
    <row r="272" s="470" customFormat="1"/>
    <row r="273" s="470" customFormat="1"/>
    <row r="274" s="470" customFormat="1"/>
    <row r="275" s="470" customFormat="1"/>
    <row r="276" s="470" customFormat="1"/>
    <row r="277" s="470" customFormat="1"/>
    <row r="278" s="470" customFormat="1"/>
    <row r="279" s="470" customFormat="1"/>
    <row r="280" s="470" customFormat="1"/>
    <row r="281" s="470" customFormat="1"/>
    <row r="282" s="470" customFormat="1"/>
    <row r="283" s="470" customFormat="1"/>
    <row r="284" s="470" customFormat="1"/>
    <row r="285" s="470" customFormat="1"/>
    <row r="286" s="470" customFormat="1"/>
    <row r="287" s="470" customFormat="1"/>
    <row r="288" s="470" customFormat="1"/>
    <row r="289" s="470" customFormat="1"/>
    <row r="290" s="470" customFormat="1"/>
    <row r="291" s="470" customFormat="1"/>
    <row r="292" s="470" customFormat="1"/>
    <row r="293" s="470" customFormat="1"/>
    <row r="294" s="470" customFormat="1"/>
    <row r="295" s="470" customFormat="1"/>
    <row r="296" s="470" customFormat="1"/>
    <row r="297" s="470" customFormat="1"/>
    <row r="298" s="470" customFormat="1"/>
    <row r="299" s="470" customFormat="1"/>
    <row r="300" s="470" customFormat="1"/>
    <row r="301" s="470" customFormat="1"/>
    <row r="302" s="470" customFormat="1"/>
    <row r="303" s="470" customFormat="1"/>
    <row r="304" s="470" customFormat="1"/>
    <row r="305" s="470" customFormat="1"/>
    <row r="306" s="470" customFormat="1"/>
    <row r="307" s="470" customFormat="1"/>
    <row r="308" s="470" customFormat="1"/>
    <row r="309" s="470" customFormat="1"/>
    <row r="310" s="470" customFormat="1"/>
    <row r="311" s="470" customFormat="1"/>
    <row r="312" s="470" customFormat="1"/>
    <row r="313" s="470" customFormat="1"/>
    <row r="314" s="470" customFormat="1"/>
    <row r="315" s="470" customFormat="1"/>
    <row r="316" s="470" customFormat="1"/>
    <row r="317" s="470" customFormat="1"/>
    <row r="318" s="470" customFormat="1"/>
    <row r="319" s="470" customFormat="1"/>
    <row r="320" s="470" customFormat="1"/>
    <row r="321" s="470" customFormat="1"/>
    <row r="322" s="470" customFormat="1"/>
    <row r="323" s="470" customFormat="1"/>
    <row r="324" s="470" customFormat="1"/>
    <row r="325" s="470" customFormat="1"/>
    <row r="326" s="470" customFormat="1"/>
    <row r="327" s="470" customFormat="1"/>
    <row r="328" s="470" customFormat="1"/>
    <row r="329" s="470" customFormat="1"/>
    <row r="330" s="470" customFormat="1"/>
    <row r="331" s="470" customFormat="1"/>
    <row r="332" s="470" customFormat="1"/>
    <row r="333" s="470" customFormat="1"/>
    <row r="334" s="470" customFormat="1"/>
    <row r="335" s="470" customFormat="1"/>
    <row r="336" s="470" customFormat="1"/>
    <row r="337" s="470" customFormat="1"/>
    <row r="338" s="470" customFormat="1"/>
    <row r="339" s="470" customFormat="1"/>
    <row r="340" s="470" customFormat="1"/>
    <row r="341" s="470" customFormat="1"/>
    <row r="342" s="470" customFormat="1"/>
    <row r="343" s="470" customFormat="1"/>
    <row r="344" s="470" customFormat="1"/>
    <row r="345" s="470" customFormat="1"/>
    <row r="346" s="470" customFormat="1"/>
    <row r="347" s="470" customFormat="1"/>
    <row r="348" s="470" customFormat="1"/>
    <row r="349" s="470" customFormat="1"/>
    <row r="350" s="470" customFormat="1"/>
    <row r="351" s="470" customFormat="1"/>
    <row r="352" s="470" customFormat="1"/>
    <row r="353" s="470" customFormat="1"/>
    <row r="354" s="470" customFormat="1"/>
    <row r="355" s="470" customFormat="1"/>
    <row r="356" s="470" customFormat="1"/>
    <row r="357" s="470" customFormat="1"/>
    <row r="358" s="470" customFormat="1"/>
    <row r="359" s="470" customFormat="1"/>
    <row r="360" s="470" customFormat="1"/>
    <row r="361" s="470" customFormat="1"/>
    <row r="362" s="470" customFormat="1"/>
    <row r="363" s="470" customFormat="1"/>
    <row r="364" s="470" customFormat="1"/>
    <row r="365" s="470" customFormat="1"/>
    <row r="366" s="470" customFormat="1"/>
    <row r="367" s="470" customFormat="1"/>
    <row r="368" s="470" customFormat="1"/>
    <row r="369" s="470" customFormat="1"/>
    <row r="370" s="470" customFormat="1"/>
    <row r="371" s="470" customFormat="1"/>
    <row r="372" s="470" customFormat="1"/>
    <row r="373" s="470" customFormat="1"/>
    <row r="374" s="470" customFormat="1"/>
    <row r="375" s="470" customFormat="1"/>
    <row r="376" s="470" customFormat="1"/>
    <row r="377" s="470" customFormat="1"/>
    <row r="378" s="470" customFormat="1"/>
    <row r="379" s="470" customFormat="1"/>
    <row r="380" s="470" customFormat="1"/>
    <row r="381" s="470" customFormat="1"/>
    <row r="382" s="470" customFormat="1"/>
    <row r="383" s="470" customFormat="1"/>
    <row r="384" s="470" customFormat="1"/>
    <row r="385" s="470" customFormat="1"/>
    <row r="386" s="470" customFormat="1"/>
    <row r="387" s="470" customFormat="1"/>
    <row r="388" s="470" customFormat="1"/>
    <row r="389" s="470" customFormat="1"/>
    <row r="390" s="470" customFormat="1"/>
    <row r="391" s="470" customFormat="1"/>
    <row r="392" s="470" customFormat="1"/>
    <row r="393" s="470" customFormat="1"/>
    <row r="394" s="470" customFormat="1"/>
    <row r="395" s="470" customFormat="1"/>
    <row r="396" s="470" customFormat="1"/>
    <row r="397" s="470" customFormat="1"/>
    <row r="398" s="470" customFormat="1"/>
    <row r="399" s="470" customFormat="1"/>
    <row r="400" s="470" customFormat="1"/>
    <row r="401" s="470" customFormat="1"/>
    <row r="402" s="470" customFormat="1"/>
    <row r="403" s="470" customFormat="1"/>
    <row r="404" s="470" customFormat="1"/>
    <row r="405" s="470" customFormat="1"/>
    <row r="406" s="470" customFormat="1"/>
    <row r="407" s="470" customFormat="1"/>
    <row r="408" s="470" customFormat="1"/>
    <row r="409" s="470" customFormat="1"/>
    <row r="410" s="470" customFormat="1"/>
    <row r="411" s="470" customFormat="1"/>
    <row r="412" s="470" customFormat="1"/>
    <row r="413" s="470" customFormat="1"/>
    <row r="414" s="470" customFormat="1"/>
    <row r="415" s="470" customFormat="1"/>
    <row r="416" s="470" customFormat="1"/>
    <row r="417" s="470" customFormat="1"/>
    <row r="418" s="470" customFormat="1"/>
    <row r="419" s="470" customFormat="1"/>
    <row r="420" s="470" customFormat="1"/>
    <row r="421" s="470" customFormat="1"/>
    <row r="422" s="470" customFormat="1"/>
    <row r="423" s="470" customFormat="1"/>
    <row r="424" s="470" customFormat="1"/>
    <row r="425" s="470" customFormat="1"/>
    <row r="426" s="470" customFormat="1"/>
    <row r="427" s="470" customFormat="1"/>
    <row r="428" s="470" customFormat="1"/>
    <row r="429" s="470" customFormat="1"/>
    <row r="430" s="470" customFormat="1"/>
    <row r="431" s="470" customFormat="1"/>
    <row r="432" s="470" customFormat="1"/>
    <row r="433" s="470" customFormat="1"/>
    <row r="434" s="470" customFormat="1"/>
    <row r="435" s="470" customFormat="1"/>
    <row r="436" s="470" customFormat="1"/>
    <row r="437" s="470" customFormat="1"/>
    <row r="438" s="470" customFormat="1"/>
    <row r="439" s="470" customFormat="1"/>
    <row r="440" s="470" customFormat="1"/>
    <row r="441" s="470" customFormat="1"/>
    <row r="442" s="470" customFormat="1"/>
    <row r="443" s="470" customFormat="1"/>
    <row r="444" s="470" customFormat="1"/>
    <row r="445" s="470" customFormat="1"/>
    <row r="446" s="470" customFormat="1"/>
    <row r="447" s="470" customFormat="1"/>
    <row r="448" s="470" customFormat="1"/>
    <row r="449" s="470" customFormat="1"/>
    <row r="450" s="470" customFormat="1"/>
    <row r="451" s="470" customFormat="1"/>
    <row r="452" s="470" customFormat="1"/>
    <row r="453" s="470" customFormat="1"/>
    <row r="454" s="470" customFormat="1"/>
    <row r="455" s="470" customFormat="1"/>
    <row r="456" s="470" customFormat="1"/>
    <row r="457" s="470" customFormat="1"/>
    <row r="458" s="470" customFormat="1"/>
    <row r="459" s="470" customFormat="1"/>
    <row r="460" s="470" customFormat="1"/>
    <row r="461" s="470" customFormat="1"/>
    <row r="462" s="470" customFormat="1"/>
    <row r="463" s="470" customFormat="1"/>
    <row r="464" s="470" customFormat="1"/>
    <row r="465" s="470" customFormat="1"/>
    <row r="466" s="470" customFormat="1"/>
    <row r="467" s="470" customFormat="1"/>
    <row r="468" s="470" customFormat="1"/>
    <row r="469" s="470" customFormat="1"/>
    <row r="470" s="470" customFormat="1"/>
  </sheetData>
  <sheetProtection password="EF65" sheet="1" objects="1" scenarios="1"/>
  <mergeCells count="37">
    <mergeCell ref="A25:I51"/>
    <mergeCell ref="A53:I53"/>
    <mergeCell ref="A21:I21"/>
    <mergeCell ref="A22:I22"/>
    <mergeCell ref="A23:C23"/>
    <mergeCell ref="D23:F23"/>
    <mergeCell ref="H23:I23"/>
    <mergeCell ref="A24:C24"/>
    <mergeCell ref="D24:F24"/>
    <mergeCell ref="G24:I24"/>
    <mergeCell ref="A14:I14"/>
    <mergeCell ref="A15:C15"/>
    <mergeCell ref="E15:I15"/>
    <mergeCell ref="A16:I19"/>
    <mergeCell ref="B20:C20"/>
    <mergeCell ref="D20:I20"/>
    <mergeCell ref="A13:F13"/>
    <mergeCell ref="G13:I13"/>
    <mergeCell ref="A7:I7"/>
    <mergeCell ref="A8:B8"/>
    <mergeCell ref="C8:F8"/>
    <mergeCell ref="H8:I8"/>
    <mergeCell ref="A9:B9"/>
    <mergeCell ref="C9:F9"/>
    <mergeCell ref="G9:I9"/>
    <mergeCell ref="B10:I10"/>
    <mergeCell ref="A11:I11"/>
    <mergeCell ref="A12:C12"/>
    <mergeCell ref="D12:E12"/>
    <mergeCell ref="F12:I12"/>
    <mergeCell ref="A1:I2"/>
    <mergeCell ref="A3:I3"/>
    <mergeCell ref="A4:I4"/>
    <mergeCell ref="A5:I5"/>
    <mergeCell ref="A6:E6"/>
    <mergeCell ref="F6:G6"/>
    <mergeCell ref="H6:I6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8BA0-8EC6-4D56-BAA6-B9389285C4E7}">
  <sheetPr>
    <tabColor theme="6" tint="0.59999389629810485"/>
    <pageSetUpPr fitToPage="1"/>
  </sheetPr>
  <dimension ref="A1:BM110"/>
  <sheetViews>
    <sheetView workbookViewId="0">
      <selection activeCell="A17" sqref="A17:AE17"/>
    </sheetView>
  </sheetViews>
  <sheetFormatPr defaultRowHeight="12.75"/>
  <cols>
    <col min="1" max="14" width="2.7109375" style="580" customWidth="1"/>
    <col min="15" max="15" width="3.28515625" style="580" customWidth="1"/>
    <col min="16" max="17" width="2.7109375" style="580" customWidth="1"/>
    <col min="18" max="18" width="3.28515625" style="580" customWidth="1"/>
    <col min="19" max="24" width="2.7109375" style="580" customWidth="1"/>
    <col min="25" max="25" width="3.7109375" style="580" customWidth="1"/>
    <col min="26" max="28" width="2.7109375" style="580" customWidth="1"/>
    <col min="29" max="29" width="3.28515625" style="580" customWidth="1"/>
    <col min="30" max="44" width="2.7109375" style="580" customWidth="1"/>
    <col min="45" max="45" width="9.28515625" style="707" customWidth="1"/>
    <col min="46" max="49" width="9.28515625" style="27" customWidth="1"/>
    <col min="50" max="54" width="9.140625" style="27"/>
    <col min="55" max="65" width="9.140625" style="26"/>
    <col min="66" max="16384" width="9.140625" style="580"/>
  </cols>
  <sheetData>
    <row r="1" spans="1:65" ht="21.95" customHeight="1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2243" t="s">
        <v>357</v>
      </c>
      <c r="U1" s="2244"/>
      <c r="V1" s="2244"/>
      <c r="W1" s="2244"/>
      <c r="X1" s="2244"/>
      <c r="Y1" s="2244"/>
      <c r="Z1" s="2244"/>
      <c r="AA1" s="2245"/>
      <c r="AB1" s="78"/>
      <c r="AC1" s="78"/>
      <c r="AD1" s="606"/>
      <c r="AE1" s="606"/>
      <c r="AF1" s="2246" t="s">
        <v>3765</v>
      </c>
      <c r="AG1" s="2247"/>
      <c r="AH1" s="2247"/>
      <c r="AI1" s="2247"/>
      <c r="AJ1" s="2247"/>
      <c r="AK1" s="2247"/>
      <c r="AL1" s="2247"/>
      <c r="AM1" s="2247"/>
      <c r="AN1" s="2247"/>
      <c r="AO1" s="2247"/>
      <c r="AP1" s="2247"/>
      <c r="AQ1" s="2247"/>
      <c r="AR1" s="2248"/>
      <c r="AS1" s="376"/>
      <c r="AT1" s="2215" t="s">
        <v>3643</v>
      </c>
      <c r="AU1" s="2216"/>
      <c r="AV1" s="2216"/>
      <c r="AW1" s="376"/>
    </row>
    <row r="2" spans="1:65" ht="18" customHeight="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607"/>
      <c r="S2" s="78"/>
      <c r="T2" s="2258" t="s">
        <v>358</v>
      </c>
      <c r="U2" s="2238"/>
      <c r="V2" s="2238"/>
      <c r="W2" s="2238"/>
      <c r="X2" s="2238"/>
      <c r="Y2" s="2238"/>
      <c r="Z2" s="2238"/>
      <c r="AA2" s="2259"/>
      <c r="AB2" s="78"/>
      <c r="AC2" s="607"/>
      <c r="AD2" s="606"/>
      <c r="AE2" s="606"/>
      <c r="AF2" s="2249"/>
      <c r="AG2" s="2250"/>
      <c r="AH2" s="2250"/>
      <c r="AI2" s="2250"/>
      <c r="AJ2" s="2250"/>
      <c r="AK2" s="2250"/>
      <c r="AL2" s="2250"/>
      <c r="AM2" s="2250"/>
      <c r="AN2" s="2250"/>
      <c r="AO2" s="2250"/>
      <c r="AP2" s="2250"/>
      <c r="AQ2" s="2250"/>
      <c r="AR2" s="2251"/>
      <c r="AS2" s="376"/>
      <c r="AT2" s="709" t="s">
        <v>3595</v>
      </c>
      <c r="AU2" s="709"/>
      <c r="AV2" s="709" t="s">
        <v>3596</v>
      </c>
      <c r="AW2" s="376"/>
    </row>
    <row r="3" spans="1:65" ht="14.2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2260" t="s">
        <v>359</v>
      </c>
      <c r="U3" s="2238"/>
      <c r="V3" s="2238"/>
      <c r="W3" s="2238"/>
      <c r="X3" s="2238"/>
      <c r="Y3" s="2238"/>
      <c r="Z3" s="2238"/>
      <c r="AA3" s="2259"/>
      <c r="AB3" s="78"/>
      <c r="AC3" s="78"/>
      <c r="AD3" s="606"/>
      <c r="AE3" s="606"/>
      <c r="AF3" s="2249"/>
      <c r="AG3" s="2250"/>
      <c r="AH3" s="2250"/>
      <c r="AI3" s="2250"/>
      <c r="AJ3" s="2250"/>
      <c r="AK3" s="2250"/>
      <c r="AL3" s="2250"/>
      <c r="AM3" s="2250"/>
      <c r="AN3" s="2250"/>
      <c r="AO3" s="2250"/>
      <c r="AP3" s="2250"/>
      <c r="AQ3" s="2250"/>
      <c r="AR3" s="2251"/>
      <c r="AS3" s="376"/>
      <c r="AT3" s="723" t="s">
        <v>258</v>
      </c>
      <c r="AU3" s="376"/>
      <c r="AV3" s="723"/>
      <c r="AW3" s="376"/>
    </row>
    <row r="4" spans="1:65" ht="21.95" customHeight="1">
      <c r="A4" s="2261"/>
      <c r="B4" s="2261"/>
      <c r="C4" s="2261"/>
      <c r="D4" s="2261"/>
      <c r="E4" s="2261"/>
      <c r="F4" s="2262" t="s">
        <v>356</v>
      </c>
      <c r="G4" s="2263"/>
      <c r="H4" s="2263"/>
      <c r="I4" s="2263"/>
      <c r="J4" s="2263"/>
      <c r="K4" s="2263"/>
      <c r="L4" s="2263"/>
      <c r="M4" s="2263"/>
      <c r="N4" s="2263"/>
      <c r="O4" s="2263"/>
      <c r="P4" s="2263"/>
      <c r="Q4" s="2263"/>
      <c r="R4" s="2263"/>
      <c r="S4" s="2263"/>
      <c r="T4" s="2264">
        <v>2021</v>
      </c>
      <c r="U4" s="2265"/>
      <c r="V4" s="2265"/>
      <c r="W4" s="2265"/>
      <c r="X4" s="2265"/>
      <c r="Y4" s="2265"/>
      <c r="Z4" s="2265"/>
      <c r="AA4" s="2266"/>
      <c r="AB4" s="78"/>
      <c r="AC4" s="78"/>
      <c r="AD4" s="606"/>
      <c r="AE4" s="606"/>
      <c r="AF4" s="2249"/>
      <c r="AG4" s="2250"/>
      <c r="AH4" s="2250"/>
      <c r="AI4" s="2250"/>
      <c r="AJ4" s="2250"/>
      <c r="AK4" s="2250"/>
      <c r="AL4" s="2250"/>
      <c r="AM4" s="2250"/>
      <c r="AN4" s="2250"/>
      <c r="AO4" s="2250"/>
      <c r="AP4" s="2250"/>
      <c r="AQ4" s="2250"/>
      <c r="AR4" s="2251"/>
      <c r="AS4" s="376"/>
      <c r="AT4" s="376"/>
      <c r="AU4" s="376"/>
      <c r="AV4" s="376"/>
      <c r="AW4" s="376"/>
    </row>
    <row r="5" spans="1:65" ht="15" customHeight="1">
      <c r="A5" s="2267" t="s">
        <v>3953</v>
      </c>
      <c r="B5" s="2267"/>
      <c r="C5" s="2267"/>
      <c r="D5" s="2267"/>
      <c r="E5" s="2267"/>
      <c r="F5" s="2267"/>
      <c r="G5" s="2267"/>
      <c r="H5" s="2267"/>
      <c r="I5" s="2267"/>
      <c r="J5" s="2267"/>
      <c r="K5" s="2267"/>
      <c r="L5" s="2267"/>
      <c r="M5" s="2267"/>
      <c r="N5" s="2267"/>
      <c r="O5" s="2267"/>
      <c r="P5" s="2267"/>
      <c r="Q5" s="2267"/>
      <c r="R5" s="2267"/>
      <c r="S5" s="608"/>
      <c r="T5" s="2268"/>
      <c r="U5" s="1076"/>
      <c r="V5" s="1076"/>
      <c r="W5" s="1076"/>
      <c r="X5" s="1076"/>
      <c r="Y5" s="1076"/>
      <c r="Z5" s="1076"/>
      <c r="AA5" s="1076"/>
      <c r="AB5" s="78"/>
      <c r="AC5" s="78"/>
      <c r="AD5" s="606"/>
      <c r="AE5" s="606"/>
      <c r="AF5" s="2249"/>
      <c r="AG5" s="2250"/>
      <c r="AH5" s="2250"/>
      <c r="AI5" s="2250"/>
      <c r="AJ5" s="2250"/>
      <c r="AK5" s="2250"/>
      <c r="AL5" s="2250"/>
      <c r="AM5" s="2250"/>
      <c r="AN5" s="2250"/>
      <c r="AO5" s="2250"/>
      <c r="AP5" s="2250"/>
      <c r="AQ5" s="2250"/>
      <c r="AR5" s="2251"/>
      <c r="AS5" s="27"/>
    </row>
    <row r="6" spans="1:65" ht="15" customHeight="1">
      <c r="A6" s="2267"/>
      <c r="B6" s="2267"/>
      <c r="C6" s="2267"/>
      <c r="D6" s="2267"/>
      <c r="E6" s="2267"/>
      <c r="F6" s="2267"/>
      <c r="G6" s="2267"/>
      <c r="H6" s="2267"/>
      <c r="I6" s="2267"/>
      <c r="J6" s="2267"/>
      <c r="K6" s="2267"/>
      <c r="L6" s="2267"/>
      <c r="M6" s="2267"/>
      <c r="N6" s="2267"/>
      <c r="O6" s="2267"/>
      <c r="P6" s="2267"/>
      <c r="Q6" s="2267"/>
      <c r="R6" s="2267"/>
      <c r="S6" s="608"/>
      <c r="T6" s="78"/>
      <c r="U6" s="2234" t="s">
        <v>64</v>
      </c>
      <c r="V6" s="2234"/>
      <c r="W6" s="2234"/>
      <c r="X6" s="2234"/>
      <c r="Y6" s="2234"/>
      <c r="Z6" s="2234"/>
      <c r="AA6" s="78"/>
      <c r="AB6" s="78"/>
      <c r="AC6" s="78"/>
      <c r="AD6" s="78"/>
      <c r="AE6" s="78"/>
      <c r="AF6" s="2252"/>
      <c r="AG6" s="2253"/>
      <c r="AH6" s="2253"/>
      <c r="AI6" s="2253"/>
      <c r="AJ6" s="2253"/>
      <c r="AK6" s="2253"/>
      <c r="AL6" s="2253"/>
      <c r="AM6" s="2253"/>
      <c r="AN6" s="2253"/>
      <c r="AO6" s="2253"/>
      <c r="AP6" s="2253"/>
      <c r="AQ6" s="2253"/>
      <c r="AR6" s="2254"/>
      <c r="AS6" s="27"/>
    </row>
    <row r="7" spans="1:65" ht="10.5" customHeight="1">
      <c r="A7" s="2235" t="s">
        <v>3535</v>
      </c>
      <c r="B7" s="2236"/>
      <c r="C7" s="2236"/>
      <c r="D7" s="2236"/>
      <c r="E7" s="2236"/>
      <c r="F7" s="2236"/>
      <c r="G7" s="2236"/>
      <c r="H7" s="2236"/>
      <c r="I7" s="2236"/>
      <c r="J7" s="2236"/>
      <c r="K7" s="2236"/>
      <c r="L7" s="2236"/>
      <c r="M7" s="2236"/>
      <c r="N7" s="2236"/>
      <c r="O7" s="2236"/>
      <c r="P7" s="2236"/>
      <c r="Q7" s="2236"/>
      <c r="R7" s="2236"/>
      <c r="S7" s="2236"/>
      <c r="T7" s="2237" t="s">
        <v>329</v>
      </c>
      <c r="U7" s="2238"/>
      <c r="V7" s="2238"/>
      <c r="W7" s="609" t="s">
        <v>258</v>
      </c>
      <c r="X7" s="2239" t="s">
        <v>330</v>
      </c>
      <c r="Y7" s="2240"/>
      <c r="Z7" s="609"/>
      <c r="AA7" s="78"/>
      <c r="AB7" s="78"/>
      <c r="AC7" s="78"/>
      <c r="AD7" s="78"/>
      <c r="AE7" s="78"/>
      <c r="AF7" s="2255"/>
      <c r="AG7" s="2256"/>
      <c r="AH7" s="2256"/>
      <c r="AI7" s="2256"/>
      <c r="AJ7" s="2256"/>
      <c r="AK7" s="2256"/>
      <c r="AL7" s="2256"/>
      <c r="AM7" s="2256"/>
      <c r="AN7" s="2256"/>
      <c r="AO7" s="2256"/>
      <c r="AP7" s="2256"/>
      <c r="AQ7" s="2256"/>
      <c r="AR7" s="2257"/>
      <c r="AS7" s="27"/>
    </row>
    <row r="8" spans="1:65">
      <c r="A8" s="2241" t="s">
        <v>91</v>
      </c>
      <c r="B8" s="2241"/>
      <c r="C8" s="2241"/>
      <c r="D8" s="2241"/>
      <c r="E8" s="2241"/>
      <c r="F8" s="2241"/>
      <c r="G8" s="2241"/>
      <c r="H8" s="2241"/>
      <c r="I8" s="2241"/>
      <c r="J8" s="2241"/>
      <c r="K8" s="2241"/>
      <c r="L8" s="2241"/>
      <c r="M8" s="2241"/>
      <c r="N8" s="2241"/>
      <c r="O8" s="2241"/>
      <c r="P8" s="2241"/>
      <c r="Q8" s="2241"/>
      <c r="R8" s="2241"/>
      <c r="S8" s="2241"/>
      <c r="T8" s="2241"/>
      <c r="U8" s="2241"/>
      <c r="V8" s="2241"/>
      <c r="W8" s="2241"/>
      <c r="X8" s="2241"/>
      <c r="Y8" s="2241"/>
      <c r="Z8" s="2241"/>
      <c r="AA8" s="2241"/>
      <c r="AB8" s="2241"/>
      <c r="AC8" s="2241"/>
      <c r="AD8" s="2241"/>
      <c r="AE8" s="2241"/>
      <c r="AF8" s="2241"/>
      <c r="AG8" s="2241"/>
      <c r="AH8" s="2241"/>
      <c r="AI8" s="2241"/>
      <c r="AJ8" s="2241"/>
      <c r="AK8" s="2241"/>
      <c r="AL8" s="2241"/>
      <c r="AM8" s="2241"/>
      <c r="AN8" s="2241"/>
      <c r="AO8" s="2241"/>
      <c r="AP8" s="2241"/>
      <c r="AQ8" s="2241"/>
      <c r="AR8" s="2241"/>
      <c r="AS8" s="27"/>
    </row>
    <row r="9" spans="1:65" ht="15" customHeight="1">
      <c r="A9" s="2109" t="s">
        <v>121</v>
      </c>
      <c r="B9" s="2196"/>
      <c r="C9" s="2196"/>
      <c r="D9" s="2196"/>
      <c r="E9" s="2196"/>
      <c r="F9" s="2196"/>
      <c r="G9" s="2196"/>
      <c r="H9" s="2196"/>
      <c r="I9" s="2196"/>
      <c r="J9" s="2196"/>
      <c r="K9" s="2196"/>
      <c r="L9" s="2196"/>
      <c r="M9" s="2196"/>
      <c r="N9" s="2196"/>
      <c r="O9" s="2196"/>
      <c r="P9" s="2196"/>
      <c r="Q9" s="2196"/>
      <c r="R9" s="2196"/>
      <c r="S9" s="2196"/>
      <c r="T9" s="2196"/>
      <c r="U9" s="2196"/>
      <c r="V9" s="2196"/>
      <c r="W9" s="2196"/>
      <c r="X9" s="2196"/>
      <c r="Y9" s="2196"/>
      <c r="Z9" s="2196"/>
      <c r="AA9" s="2196"/>
      <c r="AB9" s="2196"/>
      <c r="AC9" s="2196"/>
      <c r="AD9" s="2196"/>
      <c r="AE9" s="2196"/>
      <c r="AF9" s="2196"/>
      <c r="AG9" s="2196"/>
      <c r="AH9" s="2196"/>
      <c r="AI9" s="2196"/>
      <c r="AJ9" s="2196"/>
      <c r="AK9" s="2196"/>
      <c r="AL9" s="2196"/>
      <c r="AM9" s="2196"/>
      <c r="AN9" s="2196"/>
      <c r="AO9" s="2196"/>
      <c r="AP9" s="2196"/>
      <c r="AQ9" s="2196"/>
      <c r="AR9" s="2242"/>
      <c r="AS9" s="27"/>
    </row>
    <row r="10" spans="1:65" s="613" customFormat="1" ht="9.9499999999999993" customHeight="1">
      <c r="A10" s="2205" t="s">
        <v>98</v>
      </c>
      <c r="B10" s="2217"/>
      <c r="C10" s="2217"/>
      <c r="D10" s="2217"/>
      <c r="E10" s="2217"/>
      <c r="F10" s="2217"/>
      <c r="G10" s="2217"/>
      <c r="H10" s="2217"/>
      <c r="I10" s="2217"/>
      <c r="J10" s="2217"/>
      <c r="K10" s="2217"/>
      <c r="L10" s="2217"/>
      <c r="M10" s="2217"/>
      <c r="N10" s="2217"/>
      <c r="O10" s="2217"/>
      <c r="P10" s="2217"/>
      <c r="Q10" s="2217"/>
      <c r="R10" s="2217"/>
      <c r="S10" s="2217"/>
      <c r="T10" s="2217"/>
      <c r="U10" s="2217"/>
      <c r="V10" s="2217"/>
      <c r="W10" s="2217"/>
      <c r="X10" s="610"/>
      <c r="Y10" s="2217" t="s">
        <v>97</v>
      </c>
      <c r="Z10" s="2217"/>
      <c r="AA10" s="2217"/>
      <c r="AB10" s="2217"/>
      <c r="AC10" s="2217"/>
      <c r="AD10" s="2217"/>
      <c r="AE10" s="2217"/>
      <c r="AF10" s="2217"/>
      <c r="AG10" s="2217"/>
      <c r="AH10" s="2217"/>
      <c r="AI10" s="2217"/>
      <c r="AJ10" s="2217"/>
      <c r="AK10" s="2217"/>
      <c r="AL10" s="2217"/>
      <c r="AM10" s="610"/>
      <c r="AN10" s="2217" t="s">
        <v>116</v>
      </c>
      <c r="AO10" s="2217"/>
      <c r="AP10" s="2217"/>
      <c r="AQ10" s="2217"/>
      <c r="AR10" s="2232"/>
      <c r="AS10" s="27"/>
      <c r="AT10" s="611"/>
      <c r="AU10" s="611"/>
      <c r="AV10" s="611"/>
      <c r="AW10" s="611"/>
      <c r="AX10" s="611"/>
      <c r="AY10" s="611"/>
      <c r="AZ10" s="611"/>
      <c r="BA10" s="611"/>
      <c r="BB10" s="611"/>
      <c r="BC10" s="612"/>
      <c r="BD10" s="612"/>
      <c r="BE10" s="612"/>
      <c r="BF10" s="612"/>
      <c r="BG10" s="612"/>
      <c r="BH10" s="612"/>
      <c r="BI10" s="612"/>
      <c r="BJ10" s="612"/>
      <c r="BK10" s="612"/>
      <c r="BL10" s="612"/>
      <c r="BM10" s="612"/>
    </row>
    <row r="11" spans="1:65" s="577" customFormat="1" ht="24" customHeight="1">
      <c r="A11" s="2221" t="str">
        <f>+CONCATENATE(ZAKL_DATA!B5)</f>
        <v/>
      </c>
      <c r="B11" s="2222"/>
      <c r="C11" s="2222"/>
      <c r="D11" s="2222"/>
      <c r="E11" s="2222"/>
      <c r="F11" s="2222"/>
      <c r="G11" s="2222"/>
      <c r="H11" s="2222"/>
      <c r="I11" s="2222"/>
      <c r="J11" s="2222"/>
      <c r="K11" s="2222"/>
      <c r="L11" s="2222"/>
      <c r="M11" s="2222"/>
      <c r="N11" s="2222"/>
      <c r="O11" s="2222"/>
      <c r="P11" s="2222"/>
      <c r="Q11" s="2222"/>
      <c r="R11" s="2222"/>
      <c r="S11" s="2222"/>
      <c r="T11" s="2222"/>
      <c r="U11" s="2222"/>
      <c r="V11" s="2222"/>
      <c r="W11" s="2223"/>
      <c r="X11" s="614"/>
      <c r="Y11" s="2221" t="str">
        <f>+CONCATENATE(+ZAKL_DATA!B4)</f>
        <v/>
      </c>
      <c r="Z11" s="2222"/>
      <c r="AA11" s="2222"/>
      <c r="AB11" s="2222"/>
      <c r="AC11" s="2222"/>
      <c r="AD11" s="2222"/>
      <c r="AE11" s="2222"/>
      <c r="AF11" s="2222"/>
      <c r="AG11" s="2222"/>
      <c r="AH11" s="2222"/>
      <c r="AI11" s="2222"/>
      <c r="AJ11" s="2222"/>
      <c r="AK11" s="2222"/>
      <c r="AL11" s="2223"/>
      <c r="AM11" s="614"/>
      <c r="AN11" s="2233" t="str">
        <f>+CONCATENATE(+ZAKL_DATA!B7)</f>
        <v/>
      </c>
      <c r="AO11" s="2193"/>
      <c r="AP11" s="2193"/>
      <c r="AQ11" s="2193"/>
      <c r="AR11" s="2194"/>
      <c r="AS11" s="27"/>
      <c r="AT11" s="114"/>
      <c r="AU11" s="114"/>
      <c r="AV11" s="114"/>
      <c r="AW11" s="114"/>
      <c r="AX11" s="114"/>
      <c r="AY11" s="114"/>
      <c r="AZ11" s="114"/>
      <c r="BA11" s="114"/>
      <c r="BB11" s="114"/>
      <c r="BC11" s="274"/>
      <c r="BD11" s="274"/>
      <c r="BE11" s="274"/>
      <c r="BF11" s="274"/>
      <c r="BG11" s="274"/>
      <c r="BH11" s="274"/>
      <c r="BI11" s="274"/>
      <c r="BJ11" s="274"/>
      <c r="BK11" s="274"/>
      <c r="BL11" s="274"/>
      <c r="BM11" s="274"/>
    </row>
    <row r="12" spans="1:65" s="613" customFormat="1" ht="9.9499999999999993" customHeight="1">
      <c r="A12" s="2205" t="s">
        <v>271</v>
      </c>
      <c r="B12" s="2217"/>
      <c r="C12" s="2217"/>
      <c r="D12" s="2217"/>
      <c r="E12" s="2217"/>
      <c r="F12" s="2217"/>
      <c r="G12" s="2217"/>
      <c r="H12" s="2217"/>
      <c r="I12" s="2217"/>
      <c r="J12" s="2217"/>
      <c r="K12" s="2217"/>
      <c r="L12" s="2217"/>
      <c r="M12" s="2217"/>
      <c r="N12" s="2217"/>
      <c r="O12" s="2217"/>
      <c r="P12" s="2217"/>
      <c r="Q12" s="2217"/>
      <c r="R12" s="2217"/>
      <c r="S12" s="2217"/>
      <c r="T12" s="2217"/>
      <c r="U12" s="2217"/>
      <c r="V12" s="2217"/>
      <c r="W12" s="2217"/>
      <c r="X12" s="610"/>
      <c r="Y12" s="2190" t="s">
        <v>3641</v>
      </c>
      <c r="Z12" s="2190"/>
      <c r="AA12" s="2190"/>
      <c r="AB12" s="2190"/>
      <c r="AC12" s="2217"/>
      <c r="AD12" s="2217"/>
      <c r="AE12" s="2217"/>
      <c r="AF12" s="2217"/>
      <c r="AG12" s="615"/>
      <c r="AH12" s="2218" t="s">
        <v>3536</v>
      </c>
      <c r="AI12" s="2219"/>
      <c r="AJ12" s="2219"/>
      <c r="AK12" s="2219"/>
      <c r="AL12" s="2219"/>
      <c r="AM12" s="2219"/>
      <c r="AN12" s="2219"/>
      <c r="AO12" s="2219"/>
      <c r="AP12" s="2219"/>
      <c r="AQ12" s="2219"/>
      <c r="AR12" s="2220"/>
      <c r="AS12" s="27"/>
      <c r="AT12" s="611"/>
      <c r="AU12" s="611"/>
      <c r="AV12" s="611"/>
      <c r="AW12" s="611"/>
      <c r="AX12" s="611"/>
      <c r="AY12" s="611"/>
      <c r="AZ12" s="611"/>
      <c r="BA12" s="611"/>
      <c r="BB12" s="611"/>
      <c r="BC12" s="612"/>
      <c r="BD12" s="612"/>
      <c r="BE12" s="612"/>
      <c r="BF12" s="612"/>
      <c r="BG12" s="612"/>
      <c r="BH12" s="612"/>
      <c r="BI12" s="612"/>
      <c r="BJ12" s="612"/>
      <c r="BK12" s="612"/>
      <c r="BL12" s="612"/>
      <c r="BM12" s="612"/>
    </row>
    <row r="13" spans="1:65" s="577" customFormat="1" ht="24" customHeight="1">
      <c r="A13" s="2221" t="str">
        <f>+CONCATENATE(+ZAKL_DATA!B16)</f>
        <v/>
      </c>
      <c r="B13" s="2222"/>
      <c r="C13" s="2222"/>
      <c r="D13" s="2222"/>
      <c r="E13" s="2222"/>
      <c r="F13" s="2222"/>
      <c r="G13" s="2222"/>
      <c r="H13" s="2222"/>
      <c r="I13" s="2222"/>
      <c r="J13" s="2222"/>
      <c r="K13" s="2222"/>
      <c r="L13" s="2222"/>
      <c r="M13" s="2222"/>
      <c r="N13" s="2222"/>
      <c r="O13" s="2222"/>
      <c r="P13" s="2222"/>
      <c r="Q13" s="2222"/>
      <c r="R13" s="2222"/>
      <c r="S13" s="2222"/>
      <c r="T13" s="2222"/>
      <c r="U13" s="2222"/>
      <c r="V13" s="2222"/>
      <c r="W13" s="2223"/>
      <c r="X13" s="614"/>
      <c r="Y13" s="2224" t="str">
        <f>+CONCATENATE(ZAKL_DATA!B17)</f>
        <v/>
      </c>
      <c r="Z13" s="2225"/>
      <c r="AA13" s="2225"/>
      <c r="AB13" s="2225"/>
      <c r="AC13" s="2226"/>
      <c r="AD13" s="2226"/>
      <c r="AE13" s="2226"/>
      <c r="AF13" s="2227"/>
      <c r="AG13" s="614"/>
      <c r="AH13" s="2228" t="str">
        <f>+CONCATENATE('DAP1'!A9)</f>
        <v/>
      </c>
      <c r="AI13" s="2229"/>
      <c r="AJ13" s="2229"/>
      <c r="AK13" s="2229"/>
      <c r="AL13" s="2229"/>
      <c r="AM13" s="2229"/>
      <c r="AN13" s="2230"/>
      <c r="AO13" s="2230"/>
      <c r="AP13" s="2230"/>
      <c r="AQ13" s="2230"/>
      <c r="AR13" s="2231"/>
      <c r="AS13" s="27"/>
      <c r="AT13" s="114"/>
      <c r="AU13" s="114"/>
      <c r="AV13" s="114"/>
      <c r="AW13" s="114"/>
      <c r="AX13" s="114"/>
      <c r="AY13" s="114"/>
      <c r="AZ13" s="114"/>
      <c r="BA13" s="114"/>
      <c r="BB13" s="114"/>
      <c r="BC13" s="274"/>
      <c r="BD13" s="274"/>
      <c r="BE13" s="274"/>
      <c r="BF13" s="274"/>
      <c r="BG13" s="274"/>
      <c r="BH13" s="274"/>
      <c r="BI13" s="274"/>
      <c r="BJ13" s="274"/>
      <c r="BK13" s="274"/>
      <c r="BL13" s="274"/>
      <c r="BM13" s="274"/>
    </row>
    <row r="14" spans="1:65" s="613" customFormat="1" ht="12.6" customHeight="1">
      <c r="A14" s="2189" t="s">
        <v>214</v>
      </c>
      <c r="B14" s="2190"/>
      <c r="C14" s="2190"/>
      <c r="D14" s="2190"/>
      <c r="E14" s="2190"/>
      <c r="F14" s="2190"/>
      <c r="G14" s="610"/>
      <c r="H14" s="2190" t="s">
        <v>272</v>
      </c>
      <c r="I14" s="2190"/>
      <c r="J14" s="2190"/>
      <c r="K14" s="2190"/>
      <c r="L14" s="2190"/>
      <c r="M14" s="2190"/>
      <c r="N14" s="2190"/>
      <c r="O14" s="2190"/>
      <c r="P14" s="2190"/>
      <c r="Q14" s="2190"/>
      <c r="R14" s="2190"/>
      <c r="S14" s="2190"/>
      <c r="T14" s="2190"/>
      <c r="U14" s="2190"/>
      <c r="V14" s="2190"/>
      <c r="W14" s="2190"/>
      <c r="X14" s="2190"/>
      <c r="Y14" s="2190"/>
      <c r="Z14" s="2190"/>
      <c r="AA14" s="2190"/>
      <c r="AB14" s="2190"/>
      <c r="AC14" s="2190"/>
      <c r="AD14" s="2190"/>
      <c r="AE14" s="2190"/>
      <c r="AF14" s="2190"/>
      <c r="AG14" s="2190"/>
      <c r="AH14" s="2190"/>
      <c r="AI14" s="2190"/>
      <c r="AJ14" s="610"/>
      <c r="AK14" s="2285" t="s">
        <v>3537</v>
      </c>
      <c r="AL14" s="2285"/>
      <c r="AM14" s="2285"/>
      <c r="AN14" s="2285"/>
      <c r="AO14" s="2285"/>
      <c r="AP14" s="2285"/>
      <c r="AQ14" s="2285"/>
      <c r="AR14" s="2286"/>
      <c r="AS14" s="27"/>
      <c r="AT14" s="611"/>
      <c r="AU14" s="611"/>
      <c r="AV14" s="611"/>
      <c r="AW14" s="611"/>
      <c r="AX14" s="611"/>
      <c r="AY14" s="611"/>
      <c r="AZ14" s="611"/>
      <c r="BA14" s="611"/>
      <c r="BB14" s="611"/>
      <c r="BC14" s="612"/>
      <c r="BD14" s="612"/>
      <c r="BE14" s="612"/>
      <c r="BF14" s="612"/>
      <c r="BG14" s="612"/>
      <c r="BH14" s="612"/>
      <c r="BI14" s="612"/>
      <c r="BJ14" s="612"/>
      <c r="BK14" s="612"/>
      <c r="BL14" s="612"/>
      <c r="BM14" s="612"/>
    </row>
    <row r="15" spans="1:65" s="577" customFormat="1" ht="24" customHeight="1">
      <c r="A15" s="2224" t="str">
        <f>CONCATENATE(+ZAKL_DATA!B19)</f>
        <v/>
      </c>
      <c r="B15" s="2226"/>
      <c r="C15" s="2226"/>
      <c r="D15" s="2226"/>
      <c r="E15" s="2226"/>
      <c r="F15" s="2227"/>
      <c r="G15" s="614"/>
      <c r="H15" s="2287" t="str">
        <f>+CONCATENATE(ZAKL_DATA!B18)</f>
        <v/>
      </c>
      <c r="I15" s="2288"/>
      <c r="J15" s="2288"/>
      <c r="K15" s="2288"/>
      <c r="L15" s="2288"/>
      <c r="M15" s="2288"/>
      <c r="N15" s="2288"/>
      <c r="O15" s="2288"/>
      <c r="P15" s="2288"/>
      <c r="Q15" s="2288"/>
      <c r="R15" s="2288"/>
      <c r="S15" s="2288"/>
      <c r="T15" s="2288"/>
      <c r="U15" s="2288"/>
      <c r="V15" s="2288"/>
      <c r="W15" s="2288"/>
      <c r="X15" s="2288"/>
      <c r="Y15" s="2288"/>
      <c r="Z15" s="2288"/>
      <c r="AA15" s="2288"/>
      <c r="AB15" s="2288"/>
      <c r="AC15" s="2288"/>
      <c r="AD15" s="2288"/>
      <c r="AE15" s="2288"/>
      <c r="AF15" s="2288"/>
      <c r="AG15" s="2288"/>
      <c r="AH15" s="2288"/>
      <c r="AI15" s="2289"/>
      <c r="AJ15" s="614"/>
      <c r="AK15" s="2290" t="str">
        <f>+CONCATENATE(+ZAKL_DATA!B10)</f>
        <v/>
      </c>
      <c r="AL15" s="2291"/>
      <c r="AM15" s="2291"/>
      <c r="AN15" s="2291"/>
      <c r="AO15" s="2291"/>
      <c r="AP15" s="2291"/>
      <c r="AQ15" s="2291"/>
      <c r="AR15" s="2292"/>
      <c r="AS15" s="27"/>
      <c r="AT15" s="114"/>
      <c r="AU15" s="114"/>
      <c r="AV15" s="114"/>
      <c r="AW15" s="114"/>
      <c r="AX15" s="114"/>
      <c r="AY15" s="114"/>
      <c r="AZ15" s="114"/>
      <c r="BA15" s="114"/>
      <c r="BB15" s="114"/>
      <c r="BC15" s="274"/>
      <c r="BD15" s="274"/>
      <c r="BE15" s="274"/>
      <c r="BF15" s="274"/>
      <c r="BG15" s="274"/>
      <c r="BH15" s="274"/>
      <c r="BI15" s="274"/>
      <c r="BJ15" s="274"/>
      <c r="BK15" s="274"/>
      <c r="BL15" s="274"/>
      <c r="BM15" s="274"/>
    </row>
    <row r="16" spans="1:65" s="613" customFormat="1" ht="9.9499999999999993" customHeight="1">
      <c r="A16" s="2276" t="s">
        <v>3538</v>
      </c>
      <c r="B16" s="2277"/>
      <c r="C16" s="2277"/>
      <c r="D16" s="2277"/>
      <c r="E16" s="2277"/>
      <c r="F16" s="2277"/>
      <c r="G16" s="2277"/>
      <c r="H16" s="2277"/>
      <c r="I16" s="2277"/>
      <c r="J16" s="2277"/>
      <c r="K16" s="2278"/>
      <c r="L16" s="2278"/>
      <c r="M16" s="2278"/>
      <c r="N16" s="2278"/>
      <c r="O16" s="2278"/>
      <c r="P16" s="2278"/>
      <c r="Q16" s="2278"/>
      <c r="R16" s="2278"/>
      <c r="S16" s="2278"/>
      <c r="T16" s="2278"/>
      <c r="U16" s="2278"/>
      <c r="V16" s="2278"/>
      <c r="W16" s="2278"/>
      <c r="X16" s="2278"/>
      <c r="Y16" s="2278"/>
      <c r="Z16" s="2278"/>
      <c r="AA16" s="2278"/>
      <c r="AB16" s="2278"/>
      <c r="AC16" s="2278"/>
      <c r="AD16" s="2278"/>
      <c r="AE16" s="2278"/>
      <c r="AF16" s="610"/>
      <c r="AG16" s="2190" t="s">
        <v>31</v>
      </c>
      <c r="AH16" s="2190"/>
      <c r="AI16" s="2190"/>
      <c r="AJ16" s="2190"/>
      <c r="AK16" s="2190"/>
      <c r="AL16" s="2190"/>
      <c r="AM16" s="2190"/>
      <c r="AN16" s="2190"/>
      <c r="AO16" s="2190"/>
      <c r="AP16" s="2190"/>
      <c r="AQ16" s="2190"/>
      <c r="AR16" s="2191"/>
      <c r="AS16" s="27"/>
      <c r="AT16" s="611"/>
      <c r="AU16" s="611"/>
      <c r="AV16" s="611"/>
      <c r="AW16" s="611"/>
      <c r="AX16" s="611"/>
      <c r="AY16" s="611"/>
      <c r="AZ16" s="611"/>
      <c r="BA16" s="611"/>
      <c r="BB16" s="611"/>
      <c r="BC16" s="612"/>
      <c r="BD16" s="612"/>
      <c r="BE16" s="612"/>
      <c r="BF16" s="612"/>
      <c r="BG16" s="612"/>
      <c r="BH16" s="612"/>
      <c r="BI16" s="612"/>
      <c r="BJ16" s="612"/>
      <c r="BK16" s="612"/>
      <c r="BL16" s="612"/>
      <c r="BM16" s="612"/>
    </row>
    <row r="17" spans="1:65" s="577" customFormat="1" ht="24" customHeight="1">
      <c r="A17" s="2279" t="str">
        <f>+CONCATENATE(ZAKL_DATA!B32," / ",ZAKL_DATA!B33)</f>
        <v xml:space="preserve"> / </v>
      </c>
      <c r="B17" s="2280"/>
      <c r="C17" s="2280"/>
      <c r="D17" s="2280"/>
      <c r="E17" s="2280"/>
      <c r="F17" s="2280"/>
      <c r="G17" s="2280"/>
      <c r="H17" s="2280"/>
      <c r="I17" s="2280"/>
      <c r="J17" s="2280"/>
      <c r="K17" s="2280"/>
      <c r="L17" s="2280"/>
      <c r="M17" s="2280"/>
      <c r="N17" s="2280"/>
      <c r="O17" s="2280"/>
      <c r="P17" s="2280"/>
      <c r="Q17" s="2280"/>
      <c r="R17" s="2280"/>
      <c r="S17" s="2280"/>
      <c r="T17" s="2280"/>
      <c r="U17" s="2280"/>
      <c r="V17" s="2280"/>
      <c r="W17" s="2280"/>
      <c r="X17" s="2280"/>
      <c r="Y17" s="2280"/>
      <c r="Z17" s="2280"/>
      <c r="AA17" s="2280"/>
      <c r="AB17" s="2280"/>
      <c r="AC17" s="2280"/>
      <c r="AD17" s="2280"/>
      <c r="AE17" s="2281"/>
      <c r="AF17" s="614"/>
      <c r="AG17" s="2282" t="str">
        <f>++CONCATENATE(ZAKL_DATA!B25)</f>
        <v/>
      </c>
      <c r="AH17" s="2283"/>
      <c r="AI17" s="2283"/>
      <c r="AJ17" s="2283"/>
      <c r="AK17" s="2283"/>
      <c r="AL17" s="2283"/>
      <c r="AM17" s="2283"/>
      <c r="AN17" s="2283"/>
      <c r="AO17" s="2283"/>
      <c r="AP17" s="2283"/>
      <c r="AQ17" s="2283"/>
      <c r="AR17" s="2284"/>
      <c r="AS17" s="27"/>
      <c r="AT17" s="114"/>
      <c r="AU17" s="114"/>
      <c r="AV17" s="114"/>
      <c r="AW17" s="114"/>
      <c r="AX17" s="114"/>
      <c r="AY17" s="114"/>
      <c r="AZ17" s="114"/>
      <c r="BA17" s="114"/>
      <c r="BB17" s="114"/>
      <c r="BC17" s="274"/>
      <c r="BD17" s="274"/>
      <c r="BE17" s="274"/>
      <c r="BF17" s="274"/>
      <c r="BG17" s="274"/>
      <c r="BH17" s="274"/>
      <c r="BI17" s="274"/>
      <c r="BJ17" s="274"/>
      <c r="BK17" s="274"/>
      <c r="BL17" s="274"/>
      <c r="BM17" s="274"/>
    </row>
    <row r="18" spans="1:65" s="613" customFormat="1" ht="9.9499999999999993" customHeight="1">
      <c r="A18" s="2189" t="s">
        <v>215</v>
      </c>
      <c r="B18" s="2190"/>
      <c r="C18" s="2190"/>
      <c r="D18" s="2190"/>
      <c r="E18" s="2190"/>
      <c r="F18" s="2190"/>
      <c r="G18" s="2190"/>
      <c r="H18" s="2190"/>
      <c r="I18" s="2190"/>
      <c r="J18" s="2190"/>
      <c r="K18" s="2190"/>
      <c r="L18" s="2190"/>
      <c r="M18" s="2190"/>
      <c r="N18" s="2190"/>
      <c r="O18" s="2190"/>
      <c r="P18" s="2190"/>
      <c r="Q18" s="2190"/>
      <c r="R18" s="2190"/>
      <c r="S18" s="2190"/>
      <c r="T18" s="2190"/>
      <c r="U18" s="2190"/>
      <c r="V18" s="2190"/>
      <c r="W18" s="2190"/>
      <c r="X18" s="2190"/>
      <c r="Y18" s="2190"/>
      <c r="Z18" s="2190"/>
      <c r="AA18" s="2190"/>
      <c r="AB18" s="2190"/>
      <c r="AC18" s="2190"/>
      <c r="AD18" s="2190"/>
      <c r="AE18" s="2190"/>
      <c r="AF18" s="2190"/>
      <c r="AG18" s="2190"/>
      <c r="AH18" s="2190"/>
      <c r="AI18" s="2190"/>
      <c r="AJ18" s="2190"/>
      <c r="AK18" s="2190"/>
      <c r="AL18" s="2190"/>
      <c r="AM18" s="2190"/>
      <c r="AN18" s="2190"/>
      <c r="AO18" s="2190"/>
      <c r="AP18" s="2190"/>
      <c r="AQ18" s="2190"/>
      <c r="AR18" s="2191"/>
      <c r="AS18" s="27"/>
      <c r="AT18" s="611"/>
      <c r="AU18" s="611"/>
      <c r="AV18" s="611"/>
      <c r="AW18" s="611"/>
      <c r="AX18" s="611"/>
      <c r="AY18" s="611"/>
      <c r="AZ18" s="611"/>
      <c r="BA18" s="611"/>
      <c r="BB18" s="611"/>
      <c r="BC18" s="612"/>
      <c r="BD18" s="612"/>
      <c r="BE18" s="612"/>
      <c r="BF18" s="612"/>
      <c r="BG18" s="612"/>
      <c r="BH18" s="612"/>
      <c r="BI18" s="612"/>
      <c r="BJ18" s="612"/>
      <c r="BK18" s="612"/>
      <c r="BL18" s="612"/>
      <c r="BM18" s="612"/>
    </row>
    <row r="19" spans="1:65" s="577" customFormat="1" ht="24" customHeight="1">
      <c r="A19" s="2192" t="str">
        <f>+CONCATENATE(ZAKL_DATA!B27)</f>
        <v/>
      </c>
      <c r="B19" s="2193"/>
      <c r="C19" s="2193"/>
      <c r="D19" s="2193"/>
      <c r="E19" s="2193"/>
      <c r="F19" s="2193"/>
      <c r="G19" s="2193"/>
      <c r="H19" s="2193"/>
      <c r="I19" s="2193"/>
      <c r="J19" s="2193"/>
      <c r="K19" s="2193"/>
      <c r="L19" s="2193"/>
      <c r="M19" s="2193"/>
      <c r="N19" s="2193"/>
      <c r="O19" s="2193"/>
      <c r="P19" s="2193"/>
      <c r="Q19" s="2193"/>
      <c r="R19" s="2193"/>
      <c r="S19" s="2193"/>
      <c r="T19" s="2193"/>
      <c r="U19" s="2193"/>
      <c r="V19" s="2193"/>
      <c r="W19" s="2193"/>
      <c r="X19" s="2193"/>
      <c r="Y19" s="2193"/>
      <c r="Z19" s="2193"/>
      <c r="AA19" s="2193"/>
      <c r="AB19" s="2193"/>
      <c r="AC19" s="2193"/>
      <c r="AD19" s="2193"/>
      <c r="AE19" s="2193"/>
      <c r="AF19" s="2193"/>
      <c r="AG19" s="2193"/>
      <c r="AH19" s="2193"/>
      <c r="AI19" s="2193"/>
      <c r="AJ19" s="2193"/>
      <c r="AK19" s="2193"/>
      <c r="AL19" s="2193"/>
      <c r="AM19" s="2193"/>
      <c r="AN19" s="2193"/>
      <c r="AO19" s="2193"/>
      <c r="AP19" s="2193"/>
      <c r="AQ19" s="2193"/>
      <c r="AR19" s="2194"/>
      <c r="AS19" s="27"/>
      <c r="AT19" s="114"/>
      <c r="AU19" s="114"/>
      <c r="AV19" s="114"/>
      <c r="AW19" s="114"/>
      <c r="AX19" s="114"/>
      <c r="AY19" s="114"/>
      <c r="AZ19" s="114"/>
      <c r="BA19" s="114"/>
      <c r="BB19" s="114"/>
      <c r="BC19" s="274"/>
      <c r="BD19" s="274"/>
      <c r="BE19" s="274"/>
      <c r="BF19" s="274"/>
      <c r="BG19" s="274"/>
      <c r="BH19" s="274"/>
      <c r="BI19" s="274"/>
      <c r="BJ19" s="274"/>
      <c r="BK19" s="274"/>
      <c r="BL19" s="274"/>
      <c r="BM19" s="274"/>
    </row>
    <row r="20" spans="1:65" ht="5.0999999999999996" customHeight="1">
      <c r="A20" s="2195"/>
      <c r="B20" s="2129"/>
      <c r="C20" s="2129"/>
      <c r="D20" s="2129"/>
      <c r="E20" s="2129"/>
      <c r="F20" s="2129"/>
      <c r="G20" s="2129"/>
      <c r="H20" s="2129"/>
      <c r="I20" s="2129"/>
      <c r="J20" s="2129"/>
      <c r="K20" s="2129"/>
      <c r="L20" s="2129"/>
      <c r="M20" s="2129"/>
      <c r="N20" s="2129"/>
      <c r="O20" s="2129"/>
      <c r="P20" s="2129"/>
      <c r="Q20" s="2129"/>
      <c r="R20" s="2129"/>
      <c r="S20" s="2129"/>
      <c r="T20" s="2129"/>
      <c r="U20" s="2129"/>
      <c r="V20" s="2129"/>
      <c r="W20" s="2129"/>
      <c r="X20" s="2129"/>
      <c r="Y20" s="2129"/>
      <c r="Z20" s="2129"/>
      <c r="AA20" s="2129"/>
      <c r="AB20" s="2129"/>
      <c r="AC20" s="2129"/>
      <c r="AD20" s="2129"/>
      <c r="AE20" s="2129"/>
      <c r="AF20" s="2129"/>
      <c r="AG20" s="2129"/>
      <c r="AH20" s="2129"/>
      <c r="AI20" s="2129"/>
      <c r="AJ20" s="2129"/>
      <c r="AK20" s="2129"/>
      <c r="AL20" s="2129"/>
      <c r="AM20" s="2129"/>
      <c r="AN20" s="2129"/>
      <c r="AO20" s="2129"/>
      <c r="AP20" s="2129"/>
      <c r="AQ20" s="2129"/>
      <c r="AR20" s="2130"/>
      <c r="AS20" s="27"/>
    </row>
    <row r="21" spans="1:65" ht="15" customHeight="1">
      <c r="A21" s="2109" t="s">
        <v>216</v>
      </c>
      <c r="B21" s="2196"/>
      <c r="C21" s="2196"/>
      <c r="D21" s="2196"/>
      <c r="E21" s="2196"/>
      <c r="F21" s="2196"/>
      <c r="G21" s="2196"/>
      <c r="H21" s="2196"/>
      <c r="I21" s="2196"/>
      <c r="J21" s="2196"/>
      <c r="K21" s="2196"/>
      <c r="L21" s="2196"/>
      <c r="M21" s="2196"/>
      <c r="N21" s="2196"/>
      <c r="O21" s="2196"/>
      <c r="P21" s="2196"/>
      <c r="Q21" s="2196"/>
      <c r="R21" s="2196"/>
      <c r="S21" s="2196"/>
      <c r="T21" s="2196"/>
      <c r="U21" s="2196"/>
      <c r="V21" s="2196"/>
      <c r="W21" s="2196"/>
      <c r="X21" s="2196"/>
      <c r="Y21" s="2196"/>
      <c r="Z21" s="2196"/>
      <c r="AA21" s="2196"/>
      <c r="AB21" s="2196"/>
      <c r="AC21" s="2110"/>
      <c r="AD21" s="2110"/>
      <c r="AE21" s="2110"/>
      <c r="AF21" s="2110"/>
      <c r="AG21" s="2110"/>
      <c r="AH21" s="2110"/>
      <c r="AI21" s="2110"/>
      <c r="AJ21" s="2110"/>
      <c r="AK21" s="2110"/>
      <c r="AL21" s="2110"/>
      <c r="AM21" s="2110"/>
      <c r="AN21" s="2110"/>
      <c r="AO21" s="2110"/>
      <c r="AP21" s="2110"/>
      <c r="AQ21" s="2110"/>
      <c r="AR21" s="2111"/>
      <c r="AS21" s="27"/>
    </row>
    <row r="22" spans="1:65" ht="18.75" customHeight="1">
      <c r="A22" s="616"/>
      <c r="B22" s="2197" t="s">
        <v>3954</v>
      </c>
      <c r="C22" s="2198"/>
      <c r="D22" s="2198"/>
      <c r="E22" s="2198"/>
      <c r="F22" s="2198"/>
      <c r="G22" s="2198"/>
      <c r="H22" s="2198"/>
      <c r="I22" s="2198"/>
      <c r="J22" s="2198"/>
      <c r="K22" s="2198"/>
      <c r="L22" s="2198"/>
      <c r="M22" s="2198"/>
      <c r="N22" s="2198"/>
      <c r="O22" s="2198"/>
      <c r="P22" s="2198"/>
      <c r="Q22" s="2198"/>
      <c r="R22" s="2198"/>
      <c r="S22" s="2198"/>
      <c r="T22" s="2198"/>
      <c r="U22" s="2198"/>
      <c r="V22" s="2198"/>
      <c r="W22" s="2198"/>
      <c r="X22" s="2198"/>
      <c r="Y22" s="2198"/>
      <c r="Z22" s="2198"/>
      <c r="AA22" s="2199"/>
      <c r="AB22" s="2200"/>
      <c r="AC22" s="2201"/>
      <c r="AD22" s="2201"/>
      <c r="AE22" s="2201"/>
      <c r="AF22" s="2201"/>
      <c r="AG22" s="2201"/>
      <c r="AH22" s="2201"/>
      <c r="AI22" s="2201"/>
      <c r="AJ22" s="2201"/>
      <c r="AK22" s="2201"/>
      <c r="AL22" s="2201"/>
      <c r="AM22" s="2201"/>
      <c r="AN22" s="2201"/>
      <c r="AO22" s="2201"/>
      <c r="AP22" s="2201"/>
      <c r="AQ22" s="2201"/>
      <c r="AR22" s="2202"/>
      <c r="AS22" s="27"/>
    </row>
    <row r="23" spans="1:65" ht="18.75" customHeight="1">
      <c r="A23" s="711"/>
      <c r="B23" s="719">
        <v>1</v>
      </c>
      <c r="C23" s="719">
        <v>2</v>
      </c>
      <c r="D23" s="719">
        <v>3</v>
      </c>
      <c r="E23" s="719">
        <v>4</v>
      </c>
      <c r="F23" s="719">
        <v>5</v>
      </c>
      <c r="G23" s="719">
        <v>6</v>
      </c>
      <c r="H23" s="719">
        <v>7</v>
      </c>
      <c r="I23" s="719">
        <v>8</v>
      </c>
      <c r="J23" s="719">
        <v>9</v>
      </c>
      <c r="K23" s="719">
        <v>10</v>
      </c>
      <c r="L23" s="719">
        <v>11</v>
      </c>
      <c r="M23" s="719">
        <v>12</v>
      </c>
      <c r="N23" s="2208" t="s">
        <v>239</v>
      </c>
      <c r="O23" s="2209"/>
      <c r="P23" s="2293"/>
      <c r="Q23" s="2293"/>
      <c r="R23" s="2293"/>
      <c r="S23" s="2293"/>
      <c r="T23" s="2203" t="s">
        <v>217</v>
      </c>
      <c r="U23" s="2118"/>
      <c r="V23" s="2118"/>
      <c r="W23" s="2118"/>
      <c r="X23" s="2203" t="s">
        <v>218</v>
      </c>
      <c r="Y23" s="1076"/>
      <c r="Z23" s="1076"/>
      <c r="AA23" s="2204"/>
      <c r="AB23" s="714"/>
      <c r="AC23" s="618"/>
      <c r="AD23" s="2205" t="s">
        <v>3955</v>
      </c>
      <c r="AE23" s="2206"/>
      <c r="AF23" s="2206"/>
      <c r="AG23" s="2206"/>
      <c r="AH23" s="2206"/>
      <c r="AI23" s="2206"/>
      <c r="AJ23" s="2206"/>
      <c r="AK23" s="2206"/>
      <c r="AL23" s="2206"/>
      <c r="AM23" s="2206"/>
      <c r="AN23" s="2206"/>
      <c r="AO23" s="2206"/>
      <c r="AP23" s="2206"/>
      <c r="AQ23" s="2206"/>
      <c r="AR23" s="2207"/>
      <c r="AS23" s="27"/>
    </row>
    <row r="24" spans="1:65" ht="18.75" customHeight="1">
      <c r="A24" s="711"/>
      <c r="B24" s="618"/>
      <c r="C24" s="618"/>
      <c r="D24" s="618"/>
      <c r="E24" s="618"/>
      <c r="F24" s="618"/>
      <c r="G24" s="618"/>
      <c r="H24" s="618"/>
      <c r="I24" s="618"/>
      <c r="J24" s="618"/>
      <c r="K24" s="618"/>
      <c r="L24" s="618"/>
      <c r="M24" s="618"/>
      <c r="N24" s="712"/>
      <c r="O24" s="618"/>
      <c r="P24" s="2212" t="s">
        <v>3539</v>
      </c>
      <c r="Q24" s="2213"/>
      <c r="R24" s="2213"/>
      <c r="S24" s="2213"/>
      <c r="T24" s="618"/>
      <c r="U24" s="2129"/>
      <c r="V24" s="2129"/>
      <c r="W24" s="2129"/>
      <c r="X24" s="618"/>
      <c r="Y24" s="2195"/>
      <c r="Z24" s="1076"/>
      <c r="AA24" s="2204"/>
      <c r="AB24" s="2214"/>
      <c r="AC24" s="1076"/>
      <c r="AD24" s="1076"/>
      <c r="AE24" s="1076"/>
      <c r="AF24" s="1076"/>
      <c r="AG24" s="1076"/>
      <c r="AH24" s="1076"/>
      <c r="AI24" s="1076"/>
      <c r="AJ24" s="1076"/>
      <c r="AK24" s="1076"/>
      <c r="AL24" s="1076"/>
      <c r="AM24" s="1076"/>
      <c r="AN24" s="1076"/>
      <c r="AO24" s="1076"/>
      <c r="AP24" s="1076"/>
      <c r="AQ24" s="1076"/>
      <c r="AR24" s="2204"/>
      <c r="AS24" s="27"/>
    </row>
    <row r="25" spans="1:65" ht="18.75" customHeight="1">
      <c r="A25" s="609"/>
      <c r="B25" s="2180" t="s">
        <v>3956</v>
      </c>
      <c r="C25" s="1352"/>
      <c r="D25" s="1352"/>
      <c r="E25" s="1352"/>
      <c r="F25" s="1352"/>
      <c r="G25" s="1352"/>
      <c r="H25" s="1352"/>
      <c r="I25" s="1352"/>
      <c r="J25" s="1352"/>
      <c r="K25" s="1352"/>
      <c r="L25" s="1352"/>
      <c r="M25" s="1352"/>
      <c r="N25" s="1352"/>
      <c r="O25" s="1352"/>
      <c r="P25" s="1352"/>
      <c r="Q25" s="1352"/>
      <c r="R25" s="1352"/>
      <c r="S25" s="1352"/>
      <c r="T25" s="1352"/>
      <c r="U25" s="1352"/>
      <c r="V25" s="1352"/>
      <c r="W25" s="1352"/>
      <c r="X25" s="1352"/>
      <c r="Y25" s="1352"/>
      <c r="Z25" s="1352"/>
      <c r="AA25" s="2173"/>
      <c r="AB25" s="714"/>
      <c r="AC25" s="618"/>
      <c r="AD25" s="2205" t="s">
        <v>3957</v>
      </c>
      <c r="AE25" s="2206"/>
      <c r="AF25" s="2206"/>
      <c r="AG25" s="2206"/>
      <c r="AH25" s="2206"/>
      <c r="AI25" s="2206"/>
      <c r="AJ25" s="2206"/>
      <c r="AK25" s="2206"/>
      <c r="AL25" s="2206"/>
      <c r="AM25" s="2206"/>
      <c r="AN25" s="2206"/>
      <c r="AO25" s="2206"/>
      <c r="AP25" s="2206"/>
      <c r="AQ25" s="2206"/>
      <c r="AR25" s="2207"/>
      <c r="AS25" s="27"/>
    </row>
    <row r="26" spans="1:65" ht="18.75" customHeight="1">
      <c r="A26" s="711"/>
      <c r="B26" s="719">
        <v>1</v>
      </c>
      <c r="C26" s="719">
        <v>2</v>
      </c>
      <c r="D26" s="719">
        <v>3</v>
      </c>
      <c r="E26" s="719">
        <v>4</v>
      </c>
      <c r="F26" s="719">
        <v>5</v>
      </c>
      <c r="G26" s="719">
        <v>6</v>
      </c>
      <c r="H26" s="719">
        <v>7</v>
      </c>
      <c r="I26" s="719">
        <v>8</v>
      </c>
      <c r="J26" s="719">
        <v>9</v>
      </c>
      <c r="K26" s="719">
        <v>10</v>
      </c>
      <c r="L26" s="719">
        <v>11</v>
      </c>
      <c r="M26" s="719">
        <v>12</v>
      </c>
      <c r="N26" s="2208" t="s">
        <v>239</v>
      </c>
      <c r="O26" s="2209"/>
      <c r="P26" s="710"/>
      <c r="Q26" s="710"/>
      <c r="R26" s="710"/>
      <c r="S26" s="710"/>
      <c r="T26" s="620" t="s">
        <v>234</v>
      </c>
      <c r="U26" s="620" t="s">
        <v>235</v>
      </c>
      <c r="V26" s="620" t="s">
        <v>219</v>
      </c>
      <c r="W26" s="620" t="s">
        <v>220</v>
      </c>
      <c r="X26" s="620" t="s">
        <v>221</v>
      </c>
      <c r="Y26" s="620" t="s">
        <v>222</v>
      </c>
      <c r="Z26" s="2210"/>
      <c r="AA26" s="2211"/>
      <c r="AB26" s="2214"/>
      <c r="AC26" s="1076"/>
      <c r="AD26" s="1076"/>
      <c r="AE26" s="1076"/>
      <c r="AF26" s="1076"/>
      <c r="AG26" s="1076"/>
      <c r="AH26" s="1076"/>
      <c r="AI26" s="1076"/>
      <c r="AJ26" s="1076"/>
      <c r="AK26" s="1076"/>
      <c r="AL26" s="1076"/>
      <c r="AM26" s="1076"/>
      <c r="AN26" s="1076"/>
      <c r="AO26" s="1076"/>
      <c r="AP26" s="1076"/>
      <c r="AQ26" s="1076"/>
      <c r="AR26" s="2204"/>
      <c r="AS26" s="27"/>
    </row>
    <row r="27" spans="1:65" ht="18.75" customHeight="1">
      <c r="A27" s="711"/>
      <c r="B27" s="618"/>
      <c r="C27" s="618"/>
      <c r="D27" s="618"/>
      <c r="E27" s="618"/>
      <c r="F27" s="618"/>
      <c r="G27" s="618"/>
      <c r="H27" s="618"/>
      <c r="I27" s="618"/>
      <c r="J27" s="618"/>
      <c r="K27" s="618"/>
      <c r="L27" s="618"/>
      <c r="M27" s="618"/>
      <c r="N27" s="712"/>
      <c r="O27" s="618"/>
      <c r="P27" s="2212" t="s">
        <v>3539</v>
      </c>
      <c r="Q27" s="2213"/>
      <c r="R27" s="2213"/>
      <c r="S27" s="2213"/>
      <c r="T27" s="618"/>
      <c r="U27" s="618"/>
      <c r="V27" s="618"/>
      <c r="W27" s="618"/>
      <c r="X27" s="618"/>
      <c r="Y27" s="618"/>
      <c r="Z27" s="2116"/>
      <c r="AA27" s="2211"/>
      <c r="AB27" s="714"/>
      <c r="AC27" s="618"/>
      <c r="AD27" s="2205" t="s">
        <v>3958</v>
      </c>
      <c r="AE27" s="2206"/>
      <c r="AF27" s="2206"/>
      <c r="AG27" s="2206"/>
      <c r="AH27" s="2206"/>
      <c r="AI27" s="2206"/>
      <c r="AJ27" s="2206"/>
      <c r="AK27" s="2206"/>
      <c r="AL27" s="2206"/>
      <c r="AM27" s="2206"/>
      <c r="AN27" s="2206"/>
      <c r="AO27" s="2206"/>
      <c r="AP27" s="2206"/>
      <c r="AQ27" s="2206"/>
      <c r="AR27" s="2207"/>
      <c r="AS27" s="27"/>
    </row>
    <row r="28" spans="1:65" s="707" customFormat="1" ht="18.75" customHeight="1">
      <c r="A28" s="711"/>
      <c r="B28" s="2269" t="s">
        <v>3827</v>
      </c>
      <c r="C28" s="2270"/>
      <c r="D28" s="2270"/>
      <c r="E28" s="2270"/>
      <c r="F28" s="2270"/>
      <c r="G28" s="2270"/>
      <c r="H28" s="2271" t="s">
        <v>223</v>
      </c>
      <c r="I28" s="2118"/>
      <c r="J28" s="2118"/>
      <c r="K28" s="2118"/>
      <c r="L28" s="2118"/>
      <c r="M28" s="2118"/>
      <c r="N28" s="2118"/>
      <c r="O28" s="2118"/>
      <c r="P28" s="2118"/>
      <c r="Q28" s="2118"/>
      <c r="R28" s="2271" t="s">
        <v>224</v>
      </c>
      <c r="S28" s="2118"/>
      <c r="T28" s="2118"/>
      <c r="U28" s="2118"/>
      <c r="V28" s="2118"/>
      <c r="W28" s="2118"/>
      <c r="X28" s="2118"/>
      <c r="Y28" s="2118"/>
      <c r="Z28" s="2118"/>
      <c r="AA28" s="2272"/>
      <c r="AB28" s="2214"/>
      <c r="AC28" s="1076"/>
      <c r="AD28" s="1076"/>
      <c r="AE28" s="1076"/>
      <c r="AF28" s="1076"/>
      <c r="AG28" s="1076"/>
      <c r="AH28" s="1076"/>
      <c r="AI28" s="1076"/>
      <c r="AJ28" s="1076"/>
      <c r="AK28" s="1076"/>
      <c r="AL28" s="1076"/>
      <c r="AM28" s="1076"/>
      <c r="AN28" s="1076"/>
      <c r="AO28" s="1076"/>
      <c r="AP28" s="1076"/>
      <c r="AQ28" s="1076"/>
      <c r="AR28" s="2204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</row>
    <row r="29" spans="1:65" s="707" customFormat="1" ht="18.75" customHeight="1">
      <c r="A29" s="711"/>
      <c r="B29" s="2270"/>
      <c r="C29" s="2270"/>
      <c r="D29" s="2270"/>
      <c r="E29" s="2270"/>
      <c r="F29" s="2270"/>
      <c r="G29" s="2270"/>
      <c r="H29" s="2273"/>
      <c r="I29" s="2274"/>
      <c r="J29" s="2274"/>
      <c r="K29" s="2274"/>
      <c r="L29" s="2274"/>
      <c r="M29" s="2274"/>
      <c r="N29" s="2274"/>
      <c r="O29" s="2274"/>
      <c r="P29" s="2275"/>
      <c r="Q29" s="713"/>
      <c r="R29" s="2273"/>
      <c r="S29" s="2274"/>
      <c r="T29" s="2274"/>
      <c r="U29" s="2274"/>
      <c r="V29" s="2274"/>
      <c r="W29" s="2274"/>
      <c r="X29" s="2274"/>
      <c r="Y29" s="2274"/>
      <c r="Z29" s="2275"/>
      <c r="AA29" s="713"/>
      <c r="AB29" s="714"/>
      <c r="AC29" s="618"/>
      <c r="AD29" s="2205" t="s">
        <v>3959</v>
      </c>
      <c r="AE29" s="2206"/>
      <c r="AF29" s="2206"/>
      <c r="AG29" s="2206"/>
      <c r="AH29" s="2206"/>
      <c r="AI29" s="2206"/>
      <c r="AJ29" s="2206"/>
      <c r="AK29" s="2206"/>
      <c r="AL29" s="2206"/>
      <c r="AM29" s="2206"/>
      <c r="AN29" s="2206"/>
      <c r="AO29" s="2206"/>
      <c r="AP29" s="2206"/>
      <c r="AQ29" s="2206"/>
      <c r="AR29" s="220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</row>
    <row r="30" spans="1:65" ht="6" customHeight="1">
      <c r="A30" s="2294"/>
      <c r="B30" s="2137"/>
      <c r="C30" s="2137"/>
      <c r="D30" s="2137"/>
      <c r="E30" s="2137"/>
      <c r="F30" s="2137"/>
      <c r="G30" s="2137"/>
      <c r="H30" s="2137"/>
      <c r="I30" s="2137"/>
      <c r="J30" s="2137"/>
      <c r="K30" s="2137"/>
      <c r="L30" s="2137"/>
      <c r="M30" s="2137"/>
      <c r="N30" s="2137"/>
      <c r="O30" s="2137"/>
      <c r="P30" s="2137"/>
      <c r="Q30" s="2137"/>
      <c r="R30" s="2137"/>
      <c r="S30" s="2137"/>
      <c r="T30" s="2137"/>
      <c r="U30" s="2137"/>
      <c r="V30" s="2137"/>
      <c r="W30" s="2137"/>
      <c r="X30" s="2137"/>
      <c r="Y30" s="2137"/>
      <c r="Z30" s="2137"/>
      <c r="AA30" s="2138"/>
      <c r="AB30" s="2214"/>
      <c r="AC30" s="1076"/>
      <c r="AD30" s="1076"/>
      <c r="AE30" s="1076"/>
      <c r="AF30" s="1076"/>
      <c r="AG30" s="1076"/>
      <c r="AH30" s="1076"/>
      <c r="AI30" s="1076"/>
      <c r="AJ30" s="1076"/>
      <c r="AK30" s="1076"/>
      <c r="AL30" s="1076"/>
      <c r="AM30" s="1076"/>
      <c r="AN30" s="1076"/>
      <c r="AO30" s="1076"/>
      <c r="AP30" s="1076"/>
      <c r="AQ30" s="1076"/>
      <c r="AR30" s="2204"/>
      <c r="AS30" s="27"/>
    </row>
    <row r="31" spans="1:65" ht="15" customHeight="1">
      <c r="A31" s="2109" t="s">
        <v>344</v>
      </c>
      <c r="B31" s="2110"/>
      <c r="C31" s="2110"/>
      <c r="D31" s="2110"/>
      <c r="E31" s="2110"/>
      <c r="F31" s="2110"/>
      <c r="G31" s="2110"/>
      <c r="H31" s="2110"/>
      <c r="I31" s="2110"/>
      <c r="J31" s="2110"/>
      <c r="K31" s="2110"/>
      <c r="L31" s="2110"/>
      <c r="M31" s="2110"/>
      <c r="N31" s="2110"/>
      <c r="O31" s="2110"/>
      <c r="P31" s="2110"/>
      <c r="Q31" s="2110"/>
      <c r="R31" s="2110"/>
      <c r="S31" s="2110"/>
      <c r="T31" s="2110"/>
      <c r="U31" s="2110"/>
      <c r="V31" s="2111"/>
      <c r="W31" s="2309" t="s">
        <v>3540</v>
      </c>
      <c r="X31" s="2309"/>
      <c r="Y31" s="2309"/>
      <c r="Z31" s="2309"/>
      <c r="AA31" s="2309"/>
      <c r="AB31" s="2309"/>
      <c r="AC31" s="2309"/>
      <c r="AD31" s="2309"/>
      <c r="AE31" s="2309"/>
      <c r="AF31" s="2309"/>
      <c r="AG31" s="2309"/>
      <c r="AH31" s="2309"/>
      <c r="AI31" s="2309"/>
      <c r="AJ31" s="2309"/>
      <c r="AK31" s="2309"/>
      <c r="AL31" s="2309"/>
      <c r="AM31" s="2310"/>
      <c r="AN31" s="2310"/>
      <c r="AO31" s="2310"/>
      <c r="AP31" s="2310"/>
      <c r="AQ31" s="2310"/>
      <c r="AR31" s="2310"/>
      <c r="AS31" s="27"/>
    </row>
    <row r="32" spans="1:65" ht="18" customHeight="1">
      <c r="A32" s="711"/>
      <c r="B32" s="2311"/>
      <c r="C32" s="2311"/>
      <c r="D32" s="2311"/>
      <c r="E32" s="2311"/>
      <c r="F32" s="2311"/>
      <c r="G32" s="2311"/>
      <c r="H32" s="2311"/>
      <c r="I32" s="2271" t="s">
        <v>3960</v>
      </c>
      <c r="J32" s="2271"/>
      <c r="K32" s="2271"/>
      <c r="L32" s="2271"/>
      <c r="M32" s="2271"/>
      <c r="N32" s="2271"/>
      <c r="O32" s="2271"/>
      <c r="P32" s="2271"/>
      <c r="Q32" s="2271"/>
      <c r="R32" s="2271"/>
      <c r="S32" s="2271"/>
      <c r="T32" s="2129"/>
      <c r="U32" s="2116"/>
      <c r="V32" s="2211"/>
      <c r="W32" s="2177" t="s">
        <v>3961</v>
      </c>
      <c r="X32" s="2177"/>
      <c r="Y32" s="2177"/>
      <c r="Z32" s="2177"/>
      <c r="AA32" s="2177"/>
      <c r="AB32" s="2177"/>
      <c r="AC32" s="2177"/>
      <c r="AD32" s="2177"/>
      <c r="AE32" s="2177"/>
      <c r="AF32" s="2177"/>
      <c r="AG32" s="2177"/>
      <c r="AH32" s="2177"/>
      <c r="AI32" s="2177"/>
      <c r="AJ32" s="2177"/>
      <c r="AK32" s="2177"/>
      <c r="AL32" s="2177"/>
      <c r="AM32" s="2177"/>
      <c r="AN32" s="2177"/>
      <c r="AO32" s="2177"/>
      <c r="AP32" s="2177"/>
      <c r="AQ32" s="2177"/>
      <c r="AR32" s="2188"/>
      <c r="AS32" s="27"/>
    </row>
    <row r="33" spans="1:54" ht="18" customHeight="1">
      <c r="A33" s="717"/>
      <c r="B33" s="2146" t="s">
        <v>3962</v>
      </c>
      <c r="C33" s="2147"/>
      <c r="D33" s="2147"/>
      <c r="E33" s="2147"/>
      <c r="F33" s="2147"/>
      <c r="G33" s="2147"/>
      <c r="H33" s="2147"/>
      <c r="I33" s="2312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3" s="2313"/>
      <c r="K33" s="2313"/>
      <c r="L33" s="2313"/>
      <c r="M33" s="2313"/>
      <c r="N33" s="2313"/>
      <c r="O33" s="2313"/>
      <c r="P33" s="2313"/>
      <c r="Q33" s="2313"/>
      <c r="R33" s="2313"/>
      <c r="S33" s="2314"/>
      <c r="T33" s="2151" t="s">
        <v>202</v>
      </c>
      <c r="U33" s="2144"/>
      <c r="V33" s="2145"/>
      <c r="W33" s="715"/>
      <c r="X33" s="2146" t="s">
        <v>350</v>
      </c>
      <c r="Y33" s="2144"/>
      <c r="Z33" s="2144"/>
      <c r="AA33" s="2144"/>
      <c r="AB33" s="2144"/>
      <c r="AC33" s="2144"/>
      <c r="AD33" s="2144"/>
      <c r="AE33" s="2182">
        <v>0</v>
      </c>
      <c r="AF33" s="2315"/>
      <c r="AG33" s="2315"/>
      <c r="AH33" s="2315"/>
      <c r="AI33" s="2315"/>
      <c r="AJ33" s="2315"/>
      <c r="AK33" s="2315"/>
      <c r="AL33" s="2315"/>
      <c r="AM33" s="2315"/>
      <c r="AN33" s="2316"/>
      <c r="AO33" s="2151" t="s">
        <v>202</v>
      </c>
      <c r="AP33" s="2144"/>
      <c r="AQ33" s="2144"/>
      <c r="AR33" s="2145"/>
      <c r="AS33" s="27"/>
    </row>
    <row r="34" spans="1:54" ht="18" customHeight="1">
      <c r="A34" s="717"/>
      <c r="B34" s="2185" t="s">
        <v>3963</v>
      </c>
      <c r="C34" s="2186"/>
      <c r="D34" s="2186"/>
      <c r="E34" s="2186"/>
      <c r="F34" s="2186"/>
      <c r="G34" s="2186"/>
      <c r="H34" s="2186"/>
      <c r="I34" s="2186"/>
      <c r="J34" s="2186"/>
      <c r="K34" s="2186"/>
      <c r="L34" s="2186"/>
      <c r="M34" s="2186"/>
      <c r="N34" s="2186"/>
      <c r="O34" s="2186"/>
      <c r="P34" s="2186"/>
      <c r="Q34" s="2186"/>
      <c r="R34" s="2186"/>
      <c r="S34" s="2186"/>
      <c r="T34" s="2186"/>
      <c r="U34" s="2186"/>
      <c r="V34" s="2187"/>
      <c r="W34" s="2177" t="s">
        <v>3964</v>
      </c>
      <c r="X34" s="2177"/>
      <c r="Y34" s="2177"/>
      <c r="Z34" s="2177"/>
      <c r="AA34" s="2177"/>
      <c r="AB34" s="2177"/>
      <c r="AC34" s="2177"/>
      <c r="AD34" s="2177"/>
      <c r="AE34" s="2177"/>
      <c r="AF34" s="2177"/>
      <c r="AG34" s="2177"/>
      <c r="AH34" s="2177"/>
      <c r="AI34" s="2177"/>
      <c r="AJ34" s="2177"/>
      <c r="AK34" s="2177"/>
      <c r="AL34" s="2177"/>
      <c r="AM34" s="2177"/>
      <c r="AN34" s="2177"/>
      <c r="AO34" s="2177"/>
      <c r="AP34" s="2177"/>
      <c r="AQ34" s="2177"/>
      <c r="AR34" s="2188"/>
      <c r="AS34" s="27"/>
    </row>
    <row r="35" spans="1:54" ht="18" customHeight="1">
      <c r="A35" s="717"/>
      <c r="B35" s="2146" t="s">
        <v>345</v>
      </c>
      <c r="C35" s="2147"/>
      <c r="D35" s="2147"/>
      <c r="E35" s="2147"/>
      <c r="F35" s="2147"/>
      <c r="G35" s="2147"/>
      <c r="H35" s="2147"/>
      <c r="I35" s="2147"/>
      <c r="J35" s="2147"/>
      <c r="K35" s="2147"/>
      <c r="L35" s="2147"/>
      <c r="M35" s="2147"/>
      <c r="N35" s="2174">
        <f>+'1Př2'!G3</f>
        <v>12</v>
      </c>
      <c r="O35" s="2175"/>
      <c r="P35" s="2166"/>
      <c r="Q35" s="2155"/>
      <c r="R35" s="2155"/>
      <c r="S35" s="2155"/>
      <c r="T35" s="2155"/>
      <c r="U35" s="2155"/>
      <c r="V35" s="2156"/>
      <c r="W35" s="715"/>
      <c r="X35" s="2146" t="s">
        <v>187</v>
      </c>
      <c r="Y35" s="2147"/>
      <c r="Z35" s="2147"/>
      <c r="AA35" s="2147"/>
      <c r="AB35" s="2147"/>
      <c r="AC35" s="2147"/>
      <c r="AD35" s="2147"/>
      <c r="AE35" s="2161">
        <f>+AE33-I46</f>
        <v>0</v>
      </c>
      <c r="AF35" s="2162"/>
      <c r="AG35" s="2162"/>
      <c r="AH35" s="2162"/>
      <c r="AI35" s="2162"/>
      <c r="AJ35" s="2162"/>
      <c r="AK35" s="2162"/>
      <c r="AL35" s="2162"/>
      <c r="AM35" s="2162"/>
      <c r="AN35" s="2163"/>
      <c r="AO35" s="2151" t="s">
        <v>202</v>
      </c>
      <c r="AP35" s="2144"/>
      <c r="AQ35" s="2144"/>
      <c r="AR35" s="2145"/>
      <c r="AS35" s="27"/>
    </row>
    <row r="36" spans="1:54" ht="18" customHeight="1">
      <c r="A36" s="717"/>
      <c r="B36" s="2185" t="s">
        <v>3777</v>
      </c>
      <c r="C36" s="2186"/>
      <c r="D36" s="2186"/>
      <c r="E36" s="2186"/>
      <c r="F36" s="2186"/>
      <c r="G36" s="2186"/>
      <c r="H36" s="2186"/>
      <c r="I36" s="2186"/>
      <c r="J36" s="2186"/>
      <c r="K36" s="2186"/>
      <c r="L36" s="2186"/>
      <c r="M36" s="2186"/>
      <c r="N36" s="2186"/>
      <c r="O36" s="2186"/>
      <c r="P36" s="2186"/>
      <c r="Q36" s="2186"/>
      <c r="R36" s="2186"/>
      <c r="S36" s="2186"/>
      <c r="T36" s="2186"/>
      <c r="U36" s="2186"/>
      <c r="V36" s="2187"/>
      <c r="W36" s="2154"/>
      <c r="X36" s="1352"/>
      <c r="Y36" s="1352"/>
      <c r="Z36" s="1352"/>
      <c r="AA36" s="1352"/>
      <c r="AB36" s="1352"/>
      <c r="AC36" s="1352"/>
      <c r="AD36" s="1352"/>
      <c r="AE36" s="1352"/>
      <c r="AF36" s="1352"/>
      <c r="AG36" s="1352"/>
      <c r="AH36" s="1352"/>
      <c r="AI36" s="1352"/>
      <c r="AJ36" s="1352"/>
      <c r="AK36" s="1352"/>
      <c r="AL36" s="1352"/>
      <c r="AM36" s="1352"/>
      <c r="AN36" s="1352"/>
      <c r="AO36" s="1352"/>
      <c r="AP36" s="1352"/>
      <c r="AQ36" s="1352"/>
      <c r="AR36" s="2173"/>
      <c r="AS36" s="27"/>
    </row>
    <row r="37" spans="1:54" ht="18" customHeight="1">
      <c r="A37" s="716" t="s">
        <v>3828</v>
      </c>
      <c r="B37" s="2146" t="s">
        <v>3965</v>
      </c>
      <c r="C37" s="2147"/>
      <c r="D37" s="2147"/>
      <c r="E37" s="2147"/>
      <c r="F37" s="2147"/>
      <c r="G37" s="2147"/>
      <c r="H37" s="2147"/>
      <c r="I37" s="2147"/>
      <c r="J37" s="2147"/>
      <c r="K37" s="2147"/>
      <c r="L37" s="2147"/>
      <c r="M37" s="2147"/>
      <c r="N37" s="2174">
        <v>12</v>
      </c>
      <c r="O37" s="2175"/>
      <c r="P37" s="2166"/>
      <c r="Q37" s="2155"/>
      <c r="R37" s="2155"/>
      <c r="S37" s="2155"/>
      <c r="T37" s="2155"/>
      <c r="U37" s="2155"/>
      <c r="V37" s="2156"/>
      <c r="W37" s="715"/>
      <c r="X37" s="2151" t="s">
        <v>351</v>
      </c>
      <c r="Y37" s="2151"/>
      <c r="Z37" s="2151"/>
      <c r="AA37" s="2151"/>
      <c r="AB37" s="2151"/>
      <c r="AC37" s="2151"/>
      <c r="AD37" s="2151"/>
      <c r="AE37" s="2151"/>
      <c r="AF37" s="2151"/>
      <c r="AG37" s="2151"/>
      <c r="AH37" s="2151"/>
      <c r="AI37" s="2151"/>
      <c r="AJ37" s="2151"/>
      <c r="AK37" s="2151"/>
      <c r="AL37" s="2151"/>
      <c r="AM37" s="2151"/>
      <c r="AN37" s="2151"/>
      <c r="AO37" s="2151"/>
      <c r="AP37" s="2151"/>
      <c r="AQ37" s="2151"/>
      <c r="AR37" s="2176"/>
      <c r="AS37" s="27"/>
    </row>
    <row r="38" spans="1:54" ht="18" customHeight="1">
      <c r="A38" s="717"/>
      <c r="B38" s="2177" t="s">
        <v>346</v>
      </c>
      <c r="C38" s="2178"/>
      <c r="D38" s="2178"/>
      <c r="E38" s="2178"/>
      <c r="F38" s="2178"/>
      <c r="G38" s="2178"/>
      <c r="H38" s="2178"/>
      <c r="I38" s="2178"/>
      <c r="J38" s="2178"/>
      <c r="K38" s="2178"/>
      <c r="L38" s="2178"/>
      <c r="M38" s="2178"/>
      <c r="N38" s="2178"/>
      <c r="O38" s="2178"/>
      <c r="P38" s="2178"/>
      <c r="Q38" s="2178"/>
      <c r="R38" s="2178"/>
      <c r="S38" s="2178"/>
      <c r="T38" s="2178"/>
      <c r="U38" s="2178"/>
      <c r="V38" s="2179"/>
      <c r="W38" s="715"/>
      <c r="X38" s="618" t="str">
        <f>+IF(AE35&lt;0,"X"," ")</f>
        <v xml:space="preserve"> </v>
      </c>
      <c r="Y38" s="2180" t="s">
        <v>3829</v>
      </c>
      <c r="Z38" s="2180"/>
      <c r="AA38" s="2180"/>
      <c r="AB38" s="2180"/>
      <c r="AC38" s="2180"/>
      <c r="AD38" s="2180"/>
      <c r="AE38" s="2180"/>
      <c r="AF38" s="2180"/>
      <c r="AG38" s="2180"/>
      <c r="AH38" s="2180"/>
      <c r="AI38" s="2180"/>
      <c r="AJ38" s="2180"/>
      <c r="AK38" s="2180"/>
      <c r="AL38" s="2180"/>
      <c r="AM38" s="2180"/>
      <c r="AN38" s="2180"/>
      <c r="AO38" s="2180"/>
      <c r="AP38" s="2180"/>
      <c r="AQ38" s="2180"/>
      <c r="AR38" s="2181"/>
      <c r="AS38" s="27"/>
      <c r="AT38" s="26"/>
      <c r="AU38" s="26"/>
      <c r="AV38" s="26"/>
      <c r="AW38" s="26"/>
      <c r="AX38" s="26"/>
      <c r="AY38" s="26"/>
      <c r="AZ38" s="26"/>
      <c r="BA38" s="26"/>
      <c r="BB38" s="26"/>
    </row>
    <row r="39" spans="1:54" ht="18" customHeight="1">
      <c r="A39" s="717"/>
      <c r="B39" s="2146" t="s">
        <v>347</v>
      </c>
      <c r="C39" s="2147"/>
      <c r="D39" s="2147"/>
      <c r="E39" s="2147"/>
      <c r="F39" s="2147"/>
      <c r="G39" s="2147"/>
      <c r="H39" s="2147"/>
      <c r="I39" s="2147"/>
      <c r="J39" s="2147"/>
      <c r="K39" s="2147"/>
      <c r="L39" s="2147"/>
      <c r="M39" s="2147"/>
      <c r="N39" s="2174">
        <v>0</v>
      </c>
      <c r="O39" s="2175"/>
      <c r="P39" s="2166"/>
      <c r="Q39" s="2155"/>
      <c r="R39" s="2155"/>
      <c r="S39" s="2155"/>
      <c r="T39" s="2155"/>
      <c r="U39" s="2155"/>
      <c r="V39" s="2156"/>
      <c r="W39" s="715"/>
      <c r="X39" s="618" t="str">
        <f>+IF(AE35&gt;0,"X"," ")</f>
        <v xml:space="preserve"> </v>
      </c>
      <c r="Y39" s="2180" t="s">
        <v>3642</v>
      </c>
      <c r="Z39" s="2144"/>
      <c r="AA39" s="2144"/>
      <c r="AB39" s="2144"/>
      <c r="AC39" s="2144"/>
      <c r="AD39" s="2144"/>
      <c r="AE39" s="2144"/>
      <c r="AF39" s="2144"/>
      <c r="AG39" s="2144"/>
      <c r="AH39" s="2182">
        <f>+MAX(0,AE35)</f>
        <v>0</v>
      </c>
      <c r="AI39" s="2183"/>
      <c r="AJ39" s="2183"/>
      <c r="AK39" s="2183"/>
      <c r="AL39" s="2183"/>
      <c r="AM39" s="2183"/>
      <c r="AN39" s="2183"/>
      <c r="AO39" s="2184"/>
      <c r="AP39" s="2151" t="s">
        <v>202</v>
      </c>
      <c r="AQ39" s="2144"/>
      <c r="AR39" s="2145"/>
      <c r="AS39" s="27"/>
      <c r="AT39" s="26"/>
      <c r="AU39" s="26"/>
      <c r="AV39" s="26"/>
      <c r="AW39" s="26"/>
      <c r="AX39" s="26"/>
      <c r="AY39" s="26"/>
      <c r="AZ39" s="26"/>
      <c r="BA39" s="26"/>
      <c r="BB39" s="26"/>
    </row>
    <row r="40" spans="1:54" ht="18" customHeight="1">
      <c r="A40" s="717"/>
      <c r="B40" s="2164"/>
      <c r="C40" s="2164"/>
      <c r="D40" s="2164"/>
      <c r="E40" s="2164"/>
      <c r="F40" s="2164"/>
      <c r="G40" s="2164"/>
      <c r="H40" s="2164"/>
      <c r="I40" s="2165" t="s">
        <v>3966</v>
      </c>
      <c r="J40" s="2165"/>
      <c r="K40" s="2165"/>
      <c r="L40" s="2165"/>
      <c r="M40" s="2165"/>
      <c r="N40" s="2165"/>
      <c r="O40" s="2165"/>
      <c r="P40" s="2165"/>
      <c r="Q40" s="2165"/>
      <c r="R40" s="2165"/>
      <c r="S40" s="2165"/>
      <c r="T40" s="2166"/>
      <c r="U40" s="2155"/>
      <c r="V40" s="2156"/>
      <c r="W40" s="2154"/>
      <c r="X40" s="1352"/>
      <c r="Y40" s="2169" t="s">
        <v>3967</v>
      </c>
      <c r="Z40" s="2170"/>
      <c r="AA40" s="2170"/>
      <c r="AB40" s="2170"/>
      <c r="AC40" s="2171"/>
      <c r="AD40" s="618" t="str">
        <f>+X39</f>
        <v xml:space="preserve"> </v>
      </c>
      <c r="AE40" s="2172" t="s">
        <v>3968</v>
      </c>
      <c r="AF40" s="1352"/>
      <c r="AG40" s="1352"/>
      <c r="AH40" s="1352"/>
      <c r="AI40" s="1352"/>
      <c r="AJ40" s="1352"/>
      <c r="AK40" s="1352"/>
      <c r="AL40" s="1352"/>
      <c r="AM40" s="1352"/>
      <c r="AN40" s="1352"/>
      <c r="AO40" s="1352"/>
      <c r="AP40" s="1352"/>
      <c r="AQ40" s="1352"/>
      <c r="AR40" s="2173"/>
      <c r="AS40" s="27"/>
      <c r="AT40" s="26"/>
      <c r="AU40" s="26"/>
      <c r="AV40" s="26"/>
      <c r="AW40" s="26"/>
      <c r="AX40" s="26"/>
      <c r="AY40" s="26"/>
      <c r="AZ40" s="26"/>
      <c r="BA40" s="26"/>
      <c r="BB40" s="26"/>
    </row>
    <row r="41" spans="1:54" ht="18" customHeight="1">
      <c r="A41" s="717"/>
      <c r="B41" s="2146" t="s">
        <v>348</v>
      </c>
      <c r="C41" s="2144"/>
      <c r="D41" s="2144"/>
      <c r="E41" s="2144"/>
      <c r="F41" s="2144"/>
      <c r="G41" s="2144"/>
      <c r="H41" s="2144"/>
      <c r="I41" s="2148">
        <f>+N39*17720.5</f>
        <v>0</v>
      </c>
      <c r="J41" s="2167"/>
      <c r="K41" s="2167"/>
      <c r="L41" s="2167"/>
      <c r="M41" s="2167"/>
      <c r="N41" s="2167"/>
      <c r="O41" s="2167"/>
      <c r="P41" s="2167"/>
      <c r="Q41" s="2167"/>
      <c r="R41" s="2167"/>
      <c r="S41" s="2168"/>
      <c r="T41" s="2151" t="s">
        <v>202</v>
      </c>
      <c r="U41" s="2144"/>
      <c r="V41" s="2145"/>
      <c r="W41" s="2154"/>
      <c r="X41" s="1352"/>
      <c r="Y41" s="1352"/>
      <c r="Z41" s="1352"/>
      <c r="AA41" s="1352"/>
      <c r="AB41" s="1352"/>
      <c r="AC41" s="2173"/>
      <c r="AD41" s="618"/>
      <c r="AE41" s="2172" t="s">
        <v>3969</v>
      </c>
      <c r="AF41" s="1352"/>
      <c r="AG41" s="1352"/>
      <c r="AH41" s="1352"/>
      <c r="AI41" s="1352"/>
      <c r="AJ41" s="1352"/>
      <c r="AK41" s="1352"/>
      <c r="AL41" s="1352"/>
      <c r="AM41" s="1352"/>
      <c r="AN41" s="1352"/>
      <c r="AO41" s="1352"/>
      <c r="AP41" s="1352"/>
      <c r="AQ41" s="1352"/>
      <c r="AR41" s="2173"/>
      <c r="AS41" s="27"/>
      <c r="AT41" s="26"/>
      <c r="AU41" s="26"/>
      <c r="AV41" s="26"/>
      <c r="AW41" s="26"/>
      <c r="AX41" s="26"/>
      <c r="AY41" s="26"/>
      <c r="AZ41" s="26"/>
      <c r="BA41" s="26"/>
      <c r="BB41" s="26"/>
    </row>
    <row r="42" spans="1:54" ht="18" customHeight="1">
      <c r="A42" s="2143" t="s">
        <v>3970</v>
      </c>
      <c r="B42" s="2144"/>
      <c r="C42" s="2144"/>
      <c r="D42" s="2144"/>
      <c r="E42" s="2144"/>
      <c r="F42" s="2144"/>
      <c r="G42" s="2144"/>
      <c r="H42" s="2144"/>
      <c r="I42" s="2144"/>
      <c r="J42" s="2144"/>
      <c r="K42" s="2144"/>
      <c r="L42" s="2144"/>
      <c r="M42" s="2144"/>
      <c r="N42" s="2144"/>
      <c r="O42" s="2144"/>
      <c r="P42" s="2144"/>
      <c r="Q42" s="2144"/>
      <c r="R42" s="2144"/>
      <c r="S42" s="2144"/>
      <c r="T42" s="2144"/>
      <c r="U42" s="2144"/>
      <c r="V42" s="2145"/>
      <c r="W42" s="2140" t="s">
        <v>3541</v>
      </c>
      <c r="X42" s="2140"/>
      <c r="Y42" s="2140"/>
      <c r="Z42" s="2140"/>
      <c r="AA42" s="2140"/>
      <c r="AB42" s="2140"/>
      <c r="AC42" s="2140"/>
      <c r="AD42" s="2140"/>
      <c r="AE42" s="2140"/>
      <c r="AF42" s="2140"/>
      <c r="AG42" s="2140"/>
      <c r="AH42" s="2140"/>
      <c r="AI42" s="2140"/>
      <c r="AJ42" s="2140"/>
      <c r="AK42" s="2140"/>
      <c r="AL42" s="2140"/>
      <c r="AM42" s="2141"/>
      <c r="AN42" s="2141"/>
      <c r="AO42" s="2141"/>
      <c r="AP42" s="2141"/>
      <c r="AQ42" s="2141"/>
      <c r="AR42" s="2142"/>
      <c r="AS42" s="27"/>
      <c r="AT42" s="26"/>
      <c r="AU42" s="26"/>
      <c r="AV42" s="26"/>
      <c r="AW42" s="26"/>
      <c r="AX42" s="26"/>
      <c r="AY42" s="26"/>
      <c r="AZ42" s="26"/>
      <c r="BA42" s="26"/>
      <c r="BB42" s="26"/>
    </row>
    <row r="43" spans="1:54" ht="18" customHeight="1">
      <c r="A43" s="717"/>
      <c r="B43" s="2146" t="s">
        <v>122</v>
      </c>
      <c r="C43" s="2147"/>
      <c r="D43" s="2147"/>
      <c r="E43" s="2147"/>
      <c r="F43" s="2147"/>
      <c r="G43" s="2147"/>
      <c r="H43" s="2147"/>
      <c r="I43" s="2148">
        <f>+MAX(I41,+I33*0.5)</f>
        <v>0</v>
      </c>
      <c r="J43" s="2149"/>
      <c r="K43" s="2149"/>
      <c r="L43" s="2149"/>
      <c r="M43" s="2149"/>
      <c r="N43" s="2149"/>
      <c r="O43" s="2149"/>
      <c r="P43" s="2149"/>
      <c r="Q43" s="2149"/>
      <c r="R43" s="2149"/>
      <c r="S43" s="2150"/>
      <c r="T43" s="2151" t="s">
        <v>202</v>
      </c>
      <c r="U43" s="2144"/>
      <c r="V43" s="2145"/>
      <c r="W43" s="2152" t="s">
        <v>3971</v>
      </c>
      <c r="X43" s="2152"/>
      <c r="Y43" s="2152"/>
      <c r="Z43" s="2152"/>
      <c r="AA43" s="2152"/>
      <c r="AB43" s="2152"/>
      <c r="AC43" s="2152"/>
      <c r="AD43" s="2152"/>
      <c r="AE43" s="2152"/>
      <c r="AF43" s="2152"/>
      <c r="AG43" s="2152"/>
      <c r="AH43" s="2152"/>
      <c r="AI43" s="2152"/>
      <c r="AJ43" s="2152"/>
      <c r="AK43" s="2152"/>
      <c r="AL43" s="2152"/>
      <c r="AM43" s="2152"/>
      <c r="AN43" s="2152"/>
      <c r="AO43" s="2152"/>
      <c r="AP43" s="2152"/>
      <c r="AQ43" s="2152"/>
      <c r="AR43" s="2153"/>
      <c r="AS43" s="27"/>
      <c r="AT43" s="26"/>
      <c r="AU43" s="26"/>
      <c r="AV43" s="26"/>
      <c r="AW43" s="26"/>
      <c r="AX43" s="26"/>
      <c r="AY43" s="26"/>
      <c r="AZ43" s="26"/>
      <c r="BA43" s="26"/>
      <c r="BB43" s="26"/>
    </row>
    <row r="44" spans="1:54" ht="18" customHeight="1">
      <c r="A44" s="2154"/>
      <c r="B44" s="2155"/>
      <c r="C44" s="2155"/>
      <c r="D44" s="2155"/>
      <c r="E44" s="2155"/>
      <c r="F44" s="2155"/>
      <c r="G44" s="2155"/>
      <c r="H44" s="2155"/>
      <c r="I44" s="2155"/>
      <c r="J44" s="2155"/>
      <c r="K44" s="2155"/>
      <c r="L44" s="2155"/>
      <c r="M44" s="2155"/>
      <c r="N44" s="2155"/>
      <c r="O44" s="2155"/>
      <c r="P44" s="2155"/>
      <c r="Q44" s="2155"/>
      <c r="R44" s="2155"/>
      <c r="S44" s="2155"/>
      <c r="T44" s="2155"/>
      <c r="U44" s="2155"/>
      <c r="V44" s="2156"/>
      <c r="W44" s="720"/>
      <c r="X44" s="2157" t="s">
        <v>352</v>
      </c>
      <c r="Y44" s="2158"/>
      <c r="Z44" s="2158"/>
      <c r="AA44" s="2158"/>
      <c r="AB44" s="2158"/>
      <c r="AC44" s="2158"/>
      <c r="AD44" s="2159"/>
      <c r="AE44" s="2158"/>
      <c r="AF44" s="2160"/>
      <c r="AG44" s="2161">
        <f>+CEILING(0.135*0.5*MAX(0,I33)/N35,1)</f>
        <v>0</v>
      </c>
      <c r="AH44" s="2162"/>
      <c r="AI44" s="2162"/>
      <c r="AJ44" s="2162"/>
      <c r="AK44" s="2162"/>
      <c r="AL44" s="2162"/>
      <c r="AM44" s="2162"/>
      <c r="AN44" s="2163"/>
      <c r="AO44" s="2295" t="s">
        <v>202</v>
      </c>
      <c r="AP44" s="2296"/>
      <c r="AQ44" s="2296"/>
      <c r="AR44" s="2297"/>
      <c r="AS44" s="27"/>
      <c r="AT44" s="26"/>
      <c r="AU44" s="26"/>
      <c r="AV44" s="26"/>
      <c r="AW44" s="26"/>
      <c r="AX44" s="26"/>
      <c r="AY44" s="26"/>
      <c r="AZ44" s="26"/>
      <c r="BA44" s="26"/>
      <c r="BB44" s="26"/>
    </row>
    <row r="45" spans="1:54" ht="18" customHeight="1">
      <c r="A45" s="621"/>
      <c r="B45" s="2298" t="s">
        <v>3972</v>
      </c>
      <c r="C45" s="2299"/>
      <c r="D45" s="2299"/>
      <c r="E45" s="2299"/>
      <c r="F45" s="2299"/>
      <c r="G45" s="2299"/>
      <c r="H45" s="2299"/>
      <c r="I45" s="2299"/>
      <c r="J45" s="2299"/>
      <c r="K45" s="2299"/>
      <c r="L45" s="2299"/>
      <c r="M45" s="2299"/>
      <c r="N45" s="2299"/>
      <c r="O45" s="2299"/>
      <c r="P45" s="2299"/>
      <c r="Q45" s="2299"/>
      <c r="R45" s="2299"/>
      <c r="S45" s="2299"/>
      <c r="T45" s="2299"/>
      <c r="U45" s="2299"/>
      <c r="V45" s="2300"/>
      <c r="W45" s="721" t="s">
        <v>3830</v>
      </c>
      <c r="X45" s="721"/>
      <c r="Y45" s="721"/>
      <c r="Z45" s="721"/>
      <c r="AA45" s="721"/>
      <c r="AB45" s="721"/>
      <c r="AC45" s="721"/>
      <c r="AD45" s="721"/>
      <c r="AE45" s="721"/>
      <c r="AF45" s="721"/>
      <c r="AG45" s="622"/>
      <c r="AH45" s="622"/>
      <c r="AI45" s="622"/>
      <c r="AJ45" s="622"/>
      <c r="AK45" s="622"/>
      <c r="AL45" s="622"/>
      <c r="AM45" s="622"/>
      <c r="AN45" s="622"/>
      <c r="AO45" s="721"/>
      <c r="AP45" s="721"/>
      <c r="AQ45" s="721"/>
      <c r="AR45" s="722"/>
      <c r="AS45" s="27"/>
      <c r="AT45" s="26"/>
      <c r="AU45" s="26"/>
      <c r="AV45" s="26"/>
      <c r="AW45" s="26"/>
      <c r="AX45" s="26"/>
      <c r="AY45" s="26"/>
      <c r="AZ45" s="26"/>
      <c r="BA45" s="26"/>
      <c r="BB45" s="26"/>
    </row>
    <row r="46" spans="1:54" ht="18" customHeight="1">
      <c r="A46" s="623"/>
      <c r="B46" s="2157" t="s">
        <v>349</v>
      </c>
      <c r="C46" s="2301"/>
      <c r="D46" s="2301"/>
      <c r="E46" s="2301"/>
      <c r="F46" s="2301"/>
      <c r="G46" s="2301"/>
      <c r="H46" s="2301"/>
      <c r="I46" s="2148">
        <f>+CEILING(0.135*(I43*N37)/N35,1)</f>
        <v>0</v>
      </c>
      <c r="J46" s="2149"/>
      <c r="K46" s="2149"/>
      <c r="L46" s="2149"/>
      <c r="M46" s="2149"/>
      <c r="N46" s="2149"/>
      <c r="O46" s="2149"/>
      <c r="P46" s="2149"/>
      <c r="Q46" s="2149"/>
      <c r="R46" s="2149"/>
      <c r="S46" s="2150"/>
      <c r="T46" s="2302" t="s">
        <v>202</v>
      </c>
      <c r="U46" s="2303"/>
      <c r="V46" s="2304"/>
      <c r="W46" s="624"/>
      <c r="X46" s="618" t="s">
        <v>258</v>
      </c>
      <c r="Y46" s="2305" t="s">
        <v>3973</v>
      </c>
      <c r="Z46" s="2296"/>
      <c r="AA46" s="2296"/>
      <c r="AB46" s="618"/>
      <c r="AC46" s="2305" t="s">
        <v>3542</v>
      </c>
      <c r="AD46" s="2296"/>
      <c r="AE46" s="2296"/>
      <c r="AF46" s="618"/>
      <c r="AG46" s="2305" t="s">
        <v>353</v>
      </c>
      <c r="AH46" s="2296"/>
      <c r="AI46" s="2296"/>
      <c r="AJ46" s="2306">
        <f>+IF(OR(EXACT(X46,"X"),EXACT(X46,"x")),MAX(AG44,2627),IF(OR(EXACT(AF46,"X"),EXACT(AF46,"x")),0,+AG44))</f>
        <v>2627</v>
      </c>
      <c r="AK46" s="2307"/>
      <c r="AL46" s="2307"/>
      <c r="AM46" s="2307"/>
      <c r="AN46" s="2308"/>
      <c r="AO46" s="2302" t="s">
        <v>202</v>
      </c>
      <c r="AP46" s="2296"/>
      <c r="AQ46" s="2296"/>
      <c r="AR46" s="2297"/>
      <c r="AS46" s="27"/>
      <c r="AT46" s="26"/>
      <c r="AU46" s="26"/>
      <c r="AV46" s="26"/>
      <c r="AW46" s="26"/>
      <c r="AX46" s="26"/>
      <c r="AY46" s="26"/>
      <c r="AZ46" s="26"/>
      <c r="BA46" s="26"/>
      <c r="BB46" s="26"/>
    </row>
    <row r="47" spans="1:54" ht="18" customHeight="1">
      <c r="A47" s="2103"/>
      <c r="B47" s="2104"/>
      <c r="C47" s="2104"/>
      <c r="D47" s="2104"/>
      <c r="E47" s="2104"/>
      <c r="F47" s="2104"/>
      <c r="G47" s="2104"/>
      <c r="H47" s="2104"/>
      <c r="I47" s="2104"/>
      <c r="J47" s="2104"/>
      <c r="K47" s="2104"/>
      <c r="L47" s="2104"/>
      <c r="M47" s="2104"/>
      <c r="N47" s="2104"/>
      <c r="O47" s="2104"/>
      <c r="P47" s="2104"/>
      <c r="Q47" s="2104"/>
      <c r="R47" s="2104"/>
      <c r="S47" s="2104"/>
      <c r="T47" s="2104"/>
      <c r="U47" s="2104"/>
      <c r="V47" s="2105"/>
      <c r="W47" s="2106"/>
      <c r="X47" s="2107"/>
      <c r="Y47" s="2107"/>
      <c r="Z47" s="2107"/>
      <c r="AA47" s="2107"/>
      <c r="AB47" s="2107"/>
      <c r="AC47" s="2107"/>
      <c r="AD47" s="2107"/>
      <c r="AE47" s="2107"/>
      <c r="AF47" s="2107"/>
      <c r="AG47" s="2107"/>
      <c r="AH47" s="2107"/>
      <c r="AI47" s="2107"/>
      <c r="AJ47" s="2107"/>
      <c r="AK47" s="2107"/>
      <c r="AL47" s="2107"/>
      <c r="AM47" s="2107"/>
      <c r="AN47" s="2107"/>
      <c r="AO47" s="2107"/>
      <c r="AP47" s="2107"/>
      <c r="AQ47" s="2107"/>
      <c r="AR47" s="2108"/>
      <c r="AS47" s="27"/>
      <c r="AT47" s="26"/>
      <c r="AU47" s="26"/>
      <c r="AV47" s="26"/>
      <c r="AW47" s="26"/>
      <c r="AX47" s="26"/>
      <c r="AY47" s="26"/>
      <c r="AZ47" s="26"/>
      <c r="BA47" s="26"/>
      <c r="BB47" s="26"/>
    </row>
    <row r="48" spans="1:54" ht="15" customHeight="1">
      <c r="A48" s="2109" t="s">
        <v>3543</v>
      </c>
      <c r="B48" s="2110"/>
      <c r="C48" s="2110"/>
      <c r="D48" s="2110"/>
      <c r="E48" s="2110"/>
      <c r="F48" s="2110"/>
      <c r="G48" s="2110"/>
      <c r="H48" s="2110"/>
      <c r="I48" s="2110"/>
      <c r="J48" s="2110"/>
      <c r="K48" s="2110"/>
      <c r="L48" s="2110"/>
      <c r="M48" s="2110"/>
      <c r="N48" s="2110"/>
      <c r="O48" s="2110"/>
      <c r="P48" s="2110"/>
      <c r="Q48" s="2110"/>
      <c r="R48" s="2110"/>
      <c r="S48" s="2110"/>
      <c r="T48" s="2110"/>
      <c r="U48" s="2110"/>
      <c r="V48" s="2110"/>
      <c r="W48" s="2110"/>
      <c r="X48" s="2110"/>
      <c r="Y48" s="2110"/>
      <c r="Z48" s="2110"/>
      <c r="AA48" s="2110"/>
      <c r="AB48" s="2110"/>
      <c r="AC48" s="2110"/>
      <c r="AD48" s="2110"/>
      <c r="AE48" s="2110"/>
      <c r="AF48" s="2110"/>
      <c r="AG48" s="2110"/>
      <c r="AH48" s="2110"/>
      <c r="AI48" s="2110"/>
      <c r="AJ48" s="2110"/>
      <c r="AK48" s="2110"/>
      <c r="AL48" s="2110"/>
      <c r="AM48" s="2110"/>
      <c r="AN48" s="2110"/>
      <c r="AO48" s="2110"/>
      <c r="AP48" s="2110"/>
      <c r="AQ48" s="2110"/>
      <c r="AR48" s="2111"/>
      <c r="AS48" s="27"/>
    </row>
    <row r="49" spans="1:45" ht="9.9499999999999993" customHeight="1">
      <c r="A49" s="2117" t="s">
        <v>3778</v>
      </c>
      <c r="B49" s="2118"/>
      <c r="C49" s="2118"/>
      <c r="D49" s="2118"/>
      <c r="E49" s="2118"/>
      <c r="F49" s="2118"/>
      <c r="G49" s="2118"/>
      <c r="H49" s="2118"/>
      <c r="I49" s="2118"/>
      <c r="J49" s="2118"/>
      <c r="K49" s="2118"/>
      <c r="L49" s="2118"/>
      <c r="M49" s="2118"/>
      <c r="N49" s="2118"/>
      <c r="O49" s="2118"/>
      <c r="P49" s="2118"/>
      <c r="Q49" s="2118"/>
      <c r="R49" s="2118"/>
      <c r="S49" s="2118"/>
      <c r="T49" s="2118"/>
      <c r="U49" s="2118"/>
      <c r="V49" s="2118"/>
      <c r="W49" s="2118"/>
      <c r="X49" s="2118"/>
      <c r="Y49" s="2118"/>
      <c r="Z49" s="2118"/>
      <c r="AA49" s="619"/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19"/>
      <c r="AN49" s="619"/>
      <c r="AO49" s="619"/>
      <c r="AP49" s="619"/>
      <c r="AQ49" s="619"/>
      <c r="AR49" s="625"/>
      <c r="AS49" s="27"/>
    </row>
    <row r="50" spans="1:45" ht="9.9499999999999993" customHeight="1">
      <c r="A50" s="2119"/>
      <c r="B50" s="2118"/>
      <c r="C50" s="2118"/>
      <c r="D50" s="2118"/>
      <c r="E50" s="2118"/>
      <c r="F50" s="2118"/>
      <c r="G50" s="2118"/>
      <c r="H50" s="2118"/>
      <c r="I50" s="2118"/>
      <c r="J50" s="2118"/>
      <c r="K50" s="2118"/>
      <c r="L50" s="2118"/>
      <c r="M50" s="2118"/>
      <c r="N50" s="2118"/>
      <c r="O50" s="2118"/>
      <c r="P50" s="2118"/>
      <c r="Q50" s="2118"/>
      <c r="R50" s="2118"/>
      <c r="S50" s="2118"/>
      <c r="T50" s="2118"/>
      <c r="U50" s="2118"/>
      <c r="V50" s="2118"/>
      <c r="W50" s="2118"/>
      <c r="X50" s="2118"/>
      <c r="Y50" s="2118"/>
      <c r="Z50" s="2118"/>
      <c r="AA50" s="619"/>
      <c r="AB50" s="2120" t="s">
        <v>354</v>
      </c>
      <c r="AC50" s="2121"/>
      <c r="AD50" s="2121"/>
      <c r="AE50" s="2121"/>
      <c r="AF50" s="2121"/>
      <c r="AG50" s="2121"/>
      <c r="AH50" s="2121"/>
      <c r="AI50" s="2121"/>
      <c r="AJ50" s="2121"/>
      <c r="AK50" s="2121"/>
      <c r="AL50" s="2121"/>
      <c r="AM50" s="2121"/>
      <c r="AN50" s="2122"/>
      <c r="AO50" s="2129"/>
      <c r="AP50" s="2129"/>
      <c r="AQ50" s="2129"/>
      <c r="AR50" s="2130"/>
      <c r="AS50" s="27"/>
    </row>
    <row r="51" spans="1:45" ht="9.9499999999999993" customHeight="1">
      <c r="A51" s="2119"/>
      <c r="B51" s="2118"/>
      <c r="C51" s="2118"/>
      <c r="D51" s="2118"/>
      <c r="E51" s="2118"/>
      <c r="F51" s="2118"/>
      <c r="G51" s="2118"/>
      <c r="H51" s="2118"/>
      <c r="I51" s="2118"/>
      <c r="J51" s="2118"/>
      <c r="K51" s="2118"/>
      <c r="L51" s="2118"/>
      <c r="M51" s="2118"/>
      <c r="N51" s="2118"/>
      <c r="O51" s="2118"/>
      <c r="P51" s="2118"/>
      <c r="Q51" s="2118"/>
      <c r="R51" s="2118"/>
      <c r="S51" s="2118"/>
      <c r="T51" s="2118"/>
      <c r="U51" s="2118"/>
      <c r="V51" s="2118"/>
      <c r="W51" s="2118"/>
      <c r="X51" s="2118"/>
      <c r="Y51" s="2118"/>
      <c r="Z51" s="2118"/>
      <c r="AA51" s="619"/>
      <c r="AB51" s="2123"/>
      <c r="AC51" s="2124"/>
      <c r="AD51" s="2124"/>
      <c r="AE51" s="2124"/>
      <c r="AF51" s="2124"/>
      <c r="AG51" s="2124"/>
      <c r="AH51" s="2124"/>
      <c r="AI51" s="2124"/>
      <c r="AJ51" s="2124"/>
      <c r="AK51" s="2124"/>
      <c r="AL51" s="2124"/>
      <c r="AM51" s="2124"/>
      <c r="AN51" s="2125"/>
      <c r="AO51" s="2129"/>
      <c r="AP51" s="2129"/>
      <c r="AQ51" s="2129"/>
      <c r="AR51" s="2130"/>
      <c r="AS51" s="27"/>
    </row>
    <row r="52" spans="1:45" ht="9.9499999999999993" customHeight="1">
      <c r="A52" s="2119"/>
      <c r="B52" s="2118"/>
      <c r="C52" s="2118"/>
      <c r="D52" s="2118"/>
      <c r="E52" s="2118"/>
      <c r="F52" s="2118"/>
      <c r="G52" s="2118"/>
      <c r="H52" s="2118"/>
      <c r="I52" s="2118"/>
      <c r="J52" s="2118"/>
      <c r="K52" s="2118"/>
      <c r="L52" s="2118"/>
      <c r="M52" s="2118"/>
      <c r="N52" s="2118"/>
      <c r="O52" s="2118"/>
      <c r="P52" s="2118"/>
      <c r="Q52" s="2118"/>
      <c r="R52" s="2118"/>
      <c r="S52" s="2118"/>
      <c r="T52" s="2118"/>
      <c r="U52" s="2118"/>
      <c r="V52" s="2118"/>
      <c r="W52" s="2118"/>
      <c r="X52" s="2118"/>
      <c r="Y52" s="2118"/>
      <c r="Z52" s="2118"/>
      <c r="AA52" s="619"/>
      <c r="AB52" s="2123"/>
      <c r="AC52" s="2124"/>
      <c r="AD52" s="2124"/>
      <c r="AE52" s="2124"/>
      <c r="AF52" s="2124"/>
      <c r="AG52" s="2124"/>
      <c r="AH52" s="2124"/>
      <c r="AI52" s="2124"/>
      <c r="AJ52" s="2124"/>
      <c r="AK52" s="2124"/>
      <c r="AL52" s="2124"/>
      <c r="AM52" s="2124"/>
      <c r="AN52" s="2125"/>
      <c r="AO52" s="2129"/>
      <c r="AP52" s="2129"/>
      <c r="AQ52" s="2129"/>
      <c r="AR52" s="2130"/>
      <c r="AS52" s="27"/>
    </row>
    <row r="53" spans="1:45">
      <c r="A53" s="617"/>
      <c r="B53" s="2131" t="s">
        <v>3831</v>
      </c>
      <c r="C53" s="2131"/>
      <c r="D53" s="2131"/>
      <c r="E53" s="2131"/>
      <c r="F53" s="2131"/>
      <c r="G53" s="2131"/>
      <c r="H53" s="2131"/>
      <c r="I53" s="2131"/>
      <c r="J53" s="2131"/>
      <c r="K53" s="2131"/>
      <c r="L53" s="2131"/>
      <c r="M53" s="2131"/>
      <c r="N53" s="2131"/>
      <c r="O53" s="2131"/>
      <c r="P53" s="2131"/>
      <c r="Q53" s="2132" t="s">
        <v>355</v>
      </c>
      <c r="R53" s="2118"/>
      <c r="S53" s="2118"/>
      <c r="T53" s="2118"/>
      <c r="U53" s="2118"/>
      <c r="V53" s="2118"/>
      <c r="W53" s="2118"/>
      <c r="X53" s="2118"/>
      <c r="Y53" s="2118"/>
      <c r="Z53" s="626"/>
      <c r="AA53" s="626"/>
      <c r="AB53" s="2123"/>
      <c r="AC53" s="2124"/>
      <c r="AD53" s="2124"/>
      <c r="AE53" s="2124"/>
      <c r="AF53" s="2124"/>
      <c r="AG53" s="2124"/>
      <c r="AH53" s="2124"/>
      <c r="AI53" s="2124"/>
      <c r="AJ53" s="2124"/>
      <c r="AK53" s="2124"/>
      <c r="AL53" s="2124"/>
      <c r="AM53" s="2124"/>
      <c r="AN53" s="2125"/>
      <c r="AO53" s="2129"/>
      <c r="AP53" s="2129"/>
      <c r="AQ53" s="2129"/>
      <c r="AR53" s="2130"/>
      <c r="AS53" s="27"/>
    </row>
    <row r="54" spans="1:45" ht="15" customHeight="1">
      <c r="A54" s="617"/>
      <c r="B54" s="607"/>
      <c r="C54" s="2129"/>
      <c r="D54" s="2129"/>
      <c r="E54" s="2129"/>
      <c r="F54" s="2129"/>
      <c r="G54" s="2129"/>
      <c r="H54" s="2129"/>
      <c r="I54" s="2129"/>
      <c r="J54" s="2129"/>
      <c r="K54" s="2129"/>
      <c r="L54" s="2129"/>
      <c r="M54" s="2129"/>
      <c r="N54" s="2129"/>
      <c r="O54" s="2129"/>
      <c r="P54" s="2129"/>
      <c r="Q54" s="2133">
        <f ca="1">+TODAY()</f>
        <v>44720</v>
      </c>
      <c r="R54" s="2134"/>
      <c r="S54" s="2134"/>
      <c r="T54" s="2134"/>
      <c r="U54" s="2134"/>
      <c r="V54" s="2134"/>
      <c r="W54" s="2134"/>
      <c r="X54" s="2134"/>
      <c r="Y54" s="2135"/>
      <c r="Z54" s="619"/>
      <c r="AA54" s="619"/>
      <c r="AB54" s="2123"/>
      <c r="AC54" s="2124"/>
      <c r="AD54" s="2124"/>
      <c r="AE54" s="2124"/>
      <c r="AF54" s="2124"/>
      <c r="AG54" s="2124"/>
      <c r="AH54" s="2124"/>
      <c r="AI54" s="2124"/>
      <c r="AJ54" s="2124"/>
      <c r="AK54" s="2124"/>
      <c r="AL54" s="2124"/>
      <c r="AM54" s="2124"/>
      <c r="AN54" s="2125"/>
      <c r="AO54" s="2129"/>
      <c r="AP54" s="2129"/>
      <c r="AQ54" s="607"/>
      <c r="AR54" s="2130"/>
      <c r="AS54" s="27"/>
    </row>
    <row r="55" spans="1:45">
      <c r="A55" s="2139"/>
      <c r="B55" s="2116"/>
      <c r="C55" s="2116"/>
      <c r="D55" s="2116"/>
      <c r="E55" s="2116"/>
      <c r="F55" s="2116"/>
      <c r="G55" s="2116"/>
      <c r="H55" s="2116"/>
      <c r="I55" s="2116"/>
      <c r="J55" s="2116"/>
      <c r="K55" s="2116"/>
      <c r="L55" s="2116"/>
      <c r="M55" s="2116"/>
      <c r="N55" s="2116"/>
      <c r="O55" s="2116"/>
      <c r="P55" s="2116"/>
      <c r="Q55" s="2136"/>
      <c r="R55" s="2137"/>
      <c r="S55" s="2137"/>
      <c r="T55" s="2137"/>
      <c r="U55" s="2137"/>
      <c r="V55" s="2137"/>
      <c r="W55" s="2137"/>
      <c r="X55" s="2137"/>
      <c r="Y55" s="2138"/>
      <c r="Z55" s="619"/>
      <c r="AA55" s="619"/>
      <c r="AB55" s="2126"/>
      <c r="AC55" s="2127"/>
      <c r="AD55" s="2127"/>
      <c r="AE55" s="2127"/>
      <c r="AF55" s="2127"/>
      <c r="AG55" s="2127"/>
      <c r="AH55" s="2127"/>
      <c r="AI55" s="2127"/>
      <c r="AJ55" s="2127"/>
      <c r="AK55" s="2127"/>
      <c r="AL55" s="2127"/>
      <c r="AM55" s="2127"/>
      <c r="AN55" s="2128"/>
      <c r="AO55" s="2129"/>
      <c r="AP55" s="2129"/>
      <c r="AQ55" s="619"/>
      <c r="AR55" s="2130"/>
      <c r="AS55" s="27"/>
    </row>
    <row r="56" spans="1:45" ht="8.1" customHeight="1">
      <c r="A56" s="2112"/>
      <c r="B56" s="2113"/>
      <c r="C56" s="2113"/>
      <c r="D56" s="2113"/>
      <c r="E56" s="2113"/>
      <c r="F56" s="2113"/>
      <c r="G56" s="2113"/>
      <c r="H56" s="2113"/>
      <c r="I56" s="2113"/>
      <c r="J56" s="2113"/>
      <c r="K56" s="2113"/>
      <c r="L56" s="2113"/>
      <c r="M56" s="2113"/>
      <c r="N56" s="2113"/>
      <c r="O56" s="2113"/>
      <c r="P56" s="2113"/>
      <c r="Q56" s="2113"/>
      <c r="R56" s="2113"/>
      <c r="S56" s="2113"/>
      <c r="T56" s="2113"/>
      <c r="U56" s="2113"/>
      <c r="V56" s="2113"/>
      <c r="W56" s="2113"/>
      <c r="X56" s="2113"/>
      <c r="Y56" s="2113"/>
      <c r="Z56" s="2113"/>
      <c r="AA56" s="2113"/>
      <c r="AB56" s="2113"/>
      <c r="AC56" s="2113"/>
      <c r="AD56" s="2113"/>
      <c r="AE56" s="2113"/>
      <c r="AF56" s="2113"/>
      <c r="AG56" s="2113"/>
      <c r="AH56" s="2113"/>
      <c r="AI56" s="2113"/>
      <c r="AJ56" s="2113"/>
      <c r="AK56" s="2113"/>
      <c r="AL56" s="2113"/>
      <c r="AM56" s="2113"/>
      <c r="AN56" s="2113"/>
      <c r="AO56" s="2113"/>
      <c r="AP56" s="2113"/>
      <c r="AQ56" s="2113"/>
      <c r="AR56" s="2114"/>
      <c r="AS56" s="27"/>
    </row>
    <row r="57" spans="1:45">
      <c r="A57" s="2115" t="str">
        <f>+'SP1'!A69</f>
        <v>Formulář zpracovala ASPEKT HM, daňová, účetní a auditorská kancelář, www.danovapriznani.cz, business.center.cz</v>
      </c>
      <c r="B57" s="2116"/>
      <c r="C57" s="2116"/>
      <c r="D57" s="2116"/>
      <c r="E57" s="2116"/>
      <c r="F57" s="2116"/>
      <c r="G57" s="2116"/>
      <c r="H57" s="2116"/>
      <c r="I57" s="2116"/>
      <c r="J57" s="2116"/>
      <c r="K57" s="2116"/>
      <c r="L57" s="2116"/>
      <c r="M57" s="2116"/>
      <c r="N57" s="2116"/>
      <c r="O57" s="2116"/>
      <c r="P57" s="2116"/>
      <c r="Q57" s="2116"/>
      <c r="R57" s="2116"/>
      <c r="S57" s="2116"/>
      <c r="T57" s="2116"/>
      <c r="U57" s="2116"/>
      <c r="V57" s="2116"/>
      <c r="W57" s="2116"/>
      <c r="X57" s="2116"/>
      <c r="Y57" s="2116"/>
      <c r="Z57" s="2116"/>
      <c r="AA57" s="2116"/>
      <c r="AB57" s="2116"/>
      <c r="AC57" s="2116"/>
      <c r="AD57" s="2116"/>
      <c r="AE57" s="2116"/>
      <c r="AF57" s="2116"/>
      <c r="AG57" s="2116"/>
      <c r="AH57" s="2116"/>
      <c r="AI57" s="2116"/>
      <c r="AJ57" s="2116"/>
      <c r="AK57" s="2116"/>
      <c r="AL57" s="2116"/>
      <c r="AM57" s="2116"/>
      <c r="AN57" s="2116"/>
      <c r="AO57" s="2116"/>
      <c r="AP57" s="2116"/>
      <c r="AQ57" s="2116"/>
      <c r="AR57" s="2116"/>
      <c r="AS57" s="27"/>
    </row>
    <row r="58" spans="1:45">
      <c r="A58" s="2115" t="str">
        <f>+CONCATENATE(ZAKL_DATA!A44)</f>
        <v/>
      </c>
      <c r="B58" s="2116"/>
      <c r="C58" s="2116"/>
      <c r="D58" s="2116"/>
      <c r="E58" s="2116"/>
      <c r="F58" s="2116"/>
      <c r="G58" s="2116"/>
      <c r="H58" s="2116"/>
      <c r="I58" s="2116"/>
      <c r="J58" s="2116"/>
      <c r="K58" s="2116"/>
      <c r="L58" s="2116"/>
      <c r="M58" s="2116"/>
      <c r="N58" s="2116"/>
      <c r="O58" s="2116"/>
      <c r="P58" s="2116"/>
      <c r="Q58" s="2116"/>
      <c r="R58" s="2116"/>
      <c r="S58" s="2116"/>
      <c r="T58" s="2116"/>
      <c r="U58" s="2116"/>
      <c r="V58" s="2116"/>
      <c r="W58" s="2116"/>
      <c r="X58" s="2116"/>
      <c r="Y58" s="2116"/>
      <c r="Z58" s="2116"/>
      <c r="AA58" s="2116"/>
      <c r="AB58" s="2116"/>
      <c r="AC58" s="2116"/>
      <c r="AD58" s="2116"/>
      <c r="AE58" s="2116"/>
      <c r="AF58" s="2116"/>
      <c r="AG58" s="2116"/>
      <c r="AH58" s="2116"/>
      <c r="AI58" s="2116"/>
      <c r="AJ58" s="2116"/>
      <c r="AK58" s="2116"/>
      <c r="AL58" s="2116"/>
      <c r="AM58" s="2116"/>
      <c r="AN58" s="2116"/>
      <c r="AO58" s="2116"/>
      <c r="AP58" s="2116"/>
      <c r="AQ58" s="2116"/>
      <c r="AR58" s="2116"/>
      <c r="AS58" s="27"/>
    </row>
    <row r="59" spans="1:45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</row>
    <row r="60" spans="1:4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</row>
    <row r="61" spans="1:45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</row>
    <row r="62" spans="1:4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</row>
    <row r="63" spans="1:4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</row>
    <row r="64" spans="1:4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</row>
    <row r="65" spans="1:4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</row>
    <row r="66" spans="1:4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</row>
    <row r="67" spans="1:4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</row>
    <row r="68" spans="1:4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</row>
    <row r="69" spans="1:45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</row>
    <row r="70" spans="1:4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</row>
    <row r="71" spans="1:4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</row>
    <row r="72" spans="1:4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</row>
    <row r="73" spans="1:4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</row>
    <row r="74" spans="1:4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</row>
    <row r="75" spans="1:4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</row>
    <row r="76" spans="1:4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</row>
    <row r="77" spans="1:4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</row>
    <row r="78" spans="1:4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</row>
    <row r="79" spans="1:4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</row>
    <row r="80" spans="1:4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</row>
    <row r="81" spans="1:4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</row>
    <row r="82" spans="1:4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</row>
    <row r="83" spans="1:4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</row>
    <row r="84" spans="1:4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</row>
    <row r="85" spans="1:4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</row>
    <row r="86" spans="1:4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</row>
    <row r="87" spans="1:4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</row>
    <row r="88" spans="1:4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</row>
    <row r="89" spans="1:4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</row>
    <row r="90" spans="1:4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</row>
    <row r="91" spans="1:4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</row>
    <row r="92" spans="1:4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</row>
    <row r="93" spans="1:4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</row>
    <row r="94" spans="1:4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</row>
    <row r="95" spans="1:4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</row>
    <row r="96" spans="1:4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</row>
    <row r="97" spans="1:4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</row>
    <row r="98" spans="1:4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</row>
    <row r="99" spans="1:4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</row>
    <row r="100" spans="1:4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</row>
    <row r="101" spans="1:4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</row>
    <row r="102" spans="1:4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</row>
    <row r="103" spans="1:4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</row>
    <row r="104" spans="1:4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</row>
    <row r="105" spans="1:4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</row>
    <row r="106" spans="1:4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</row>
    <row r="107" spans="1:4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</row>
    <row r="108" spans="1:4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</row>
    <row r="109" spans="1:45"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</row>
    <row r="110" spans="1:45"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</row>
  </sheetData>
  <sheetProtection algorithmName="SHA-512" hashValue="N8Ax7fIfU1qhAF19UO3cM+Hijzr2Jj0q9i0y9FLGsEP672jboNTWzuo88IKkr0kyKqxHgrXWpDQ6m/dpHIoPPA==" saltValue="NNUxfo+AVurzCtggpmkGLA==" spinCount="100000" sheet="1" objects="1" scenarios="1"/>
  <mergeCells count="149">
    <mergeCell ref="AB30:AR30"/>
    <mergeCell ref="A30:AA30"/>
    <mergeCell ref="AO44:AR44"/>
    <mergeCell ref="B45:V45"/>
    <mergeCell ref="B46:H46"/>
    <mergeCell ref="I46:S46"/>
    <mergeCell ref="T46:V46"/>
    <mergeCell ref="Y46:AA46"/>
    <mergeCell ref="AC46:AE46"/>
    <mergeCell ref="AG46:AI46"/>
    <mergeCell ref="AJ46:AN46"/>
    <mergeCell ref="AO46:AR46"/>
    <mergeCell ref="A31:V31"/>
    <mergeCell ref="W31:AR31"/>
    <mergeCell ref="W32:AR32"/>
    <mergeCell ref="B32:H32"/>
    <mergeCell ref="I32:S32"/>
    <mergeCell ref="T32:V32"/>
    <mergeCell ref="B33:H33"/>
    <mergeCell ref="I33:S33"/>
    <mergeCell ref="T33:V33"/>
    <mergeCell ref="X33:AD33"/>
    <mergeCell ref="AE33:AN33"/>
    <mergeCell ref="AO33:AR33"/>
    <mergeCell ref="F4:S4"/>
    <mergeCell ref="T4:AA4"/>
    <mergeCell ref="A5:R6"/>
    <mergeCell ref="T5:AA5"/>
    <mergeCell ref="B28:G29"/>
    <mergeCell ref="H28:Q28"/>
    <mergeCell ref="R28:AA28"/>
    <mergeCell ref="AB28:AR28"/>
    <mergeCell ref="H29:P29"/>
    <mergeCell ref="R29:Z29"/>
    <mergeCell ref="AD29:AR29"/>
    <mergeCell ref="A16:AE16"/>
    <mergeCell ref="A17:AE17"/>
    <mergeCell ref="AG16:AR16"/>
    <mergeCell ref="AG17:AR17"/>
    <mergeCell ref="A14:F14"/>
    <mergeCell ref="H14:AI14"/>
    <mergeCell ref="AK14:AR14"/>
    <mergeCell ref="A15:F15"/>
    <mergeCell ref="H15:AI15"/>
    <mergeCell ref="AK15:AR15"/>
    <mergeCell ref="N23:O23"/>
    <mergeCell ref="P23:S23"/>
    <mergeCell ref="T23:W23"/>
    <mergeCell ref="AT1:AV1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U6:Z6"/>
    <mergeCell ref="A7:S7"/>
    <mergeCell ref="T7:V7"/>
    <mergeCell ref="X7:Y7"/>
    <mergeCell ref="A8:AR8"/>
    <mergeCell ref="A9:AR9"/>
    <mergeCell ref="T1:AA1"/>
    <mergeCell ref="AF1:AR7"/>
    <mergeCell ref="T2:AA2"/>
    <mergeCell ref="T3:AA3"/>
    <mergeCell ref="A4:E4"/>
    <mergeCell ref="A18:AR18"/>
    <mergeCell ref="A19:AR19"/>
    <mergeCell ref="A20:AR20"/>
    <mergeCell ref="A21:AR21"/>
    <mergeCell ref="B22:AA22"/>
    <mergeCell ref="AB22:AR22"/>
    <mergeCell ref="X23:AA23"/>
    <mergeCell ref="AD23:AR23"/>
    <mergeCell ref="N26:O26"/>
    <mergeCell ref="Z26:AA27"/>
    <mergeCell ref="P27:S27"/>
    <mergeCell ref="P24:S24"/>
    <mergeCell ref="U24:W24"/>
    <mergeCell ref="Y24:AA24"/>
    <mergeCell ref="AB24:AR24"/>
    <mergeCell ref="B25:AA25"/>
    <mergeCell ref="AD25:AR25"/>
    <mergeCell ref="AB26:AR26"/>
    <mergeCell ref="AD27:AR27"/>
    <mergeCell ref="B34:V34"/>
    <mergeCell ref="W34:AR34"/>
    <mergeCell ref="W36:AR36"/>
    <mergeCell ref="X35:AD35"/>
    <mergeCell ref="AE35:AN35"/>
    <mergeCell ref="AO35:AR35"/>
    <mergeCell ref="B35:M35"/>
    <mergeCell ref="N35:O35"/>
    <mergeCell ref="P35:V35"/>
    <mergeCell ref="B36:V36"/>
    <mergeCell ref="B37:M37"/>
    <mergeCell ref="N37:O37"/>
    <mergeCell ref="P37:V37"/>
    <mergeCell ref="X37:AR37"/>
    <mergeCell ref="B38:V38"/>
    <mergeCell ref="Y38:AR38"/>
    <mergeCell ref="B39:M39"/>
    <mergeCell ref="N39:O39"/>
    <mergeCell ref="P39:V39"/>
    <mergeCell ref="Y39:AG39"/>
    <mergeCell ref="AH39:AO39"/>
    <mergeCell ref="AP39:AR39"/>
    <mergeCell ref="B40:H40"/>
    <mergeCell ref="I40:S40"/>
    <mergeCell ref="T40:V40"/>
    <mergeCell ref="B41:H41"/>
    <mergeCell ref="I41:S41"/>
    <mergeCell ref="T41:V41"/>
    <mergeCell ref="W40:X40"/>
    <mergeCell ref="Y40:AC40"/>
    <mergeCell ref="AE40:AR40"/>
    <mergeCell ref="W41:AC41"/>
    <mergeCell ref="AE41:AR41"/>
    <mergeCell ref="W42:AR42"/>
    <mergeCell ref="A42:V42"/>
    <mergeCell ref="B43:H43"/>
    <mergeCell ref="I43:S43"/>
    <mergeCell ref="T43:V43"/>
    <mergeCell ref="W43:AR43"/>
    <mergeCell ref="A44:V44"/>
    <mergeCell ref="X44:AF44"/>
    <mergeCell ref="AG44:AN44"/>
    <mergeCell ref="A47:V47"/>
    <mergeCell ref="W47:AR47"/>
    <mergeCell ref="A48:AR48"/>
    <mergeCell ref="A56:AR56"/>
    <mergeCell ref="A57:AR57"/>
    <mergeCell ref="A58:AR58"/>
    <mergeCell ref="A49:Z52"/>
    <mergeCell ref="AB50:AN55"/>
    <mergeCell ref="AO50:AR53"/>
    <mergeCell ref="B53:P53"/>
    <mergeCell ref="Q53:Y53"/>
    <mergeCell ref="C54:P54"/>
    <mergeCell ref="Q54:Y55"/>
    <mergeCell ref="AO54:AP55"/>
    <mergeCell ref="AR54:AR55"/>
    <mergeCell ref="A55:P55"/>
  </mergeCells>
  <printOptions horizontalCentered="1" verticalCentered="1"/>
  <pageMargins left="0.27559055118110237" right="0.27559055118110237" top="0.31496062992125984" bottom="0" header="0.51181102362204722" footer="0"/>
  <pageSetup paperSize="9" scale="81" orientation="portrait" r:id="rId1"/>
  <headerFooter alignWithMargins="0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99143-2C24-4315-AB44-4B4FF0E50522}">
  <sheetPr>
    <tabColor theme="6" tint="0.59999389629810485"/>
    <pageSetUpPr fitToPage="1"/>
  </sheetPr>
  <dimension ref="A1:BN110"/>
  <sheetViews>
    <sheetView workbookViewId="0">
      <selection activeCell="A11" sqref="A11:W11"/>
    </sheetView>
  </sheetViews>
  <sheetFormatPr defaultRowHeight="12.75"/>
  <cols>
    <col min="1" max="14" width="2.7109375" style="580" customWidth="1"/>
    <col min="15" max="15" width="3.28515625" style="580" customWidth="1"/>
    <col min="16" max="17" width="2.7109375" style="580" customWidth="1"/>
    <col min="18" max="18" width="3.28515625" style="580" customWidth="1"/>
    <col min="19" max="24" width="2.7109375" style="580" customWidth="1"/>
    <col min="25" max="25" width="3.7109375" style="580" customWidth="1"/>
    <col min="26" max="28" width="2.7109375" style="580" customWidth="1"/>
    <col min="29" max="29" width="3.28515625" style="580" customWidth="1"/>
    <col min="30" max="44" width="2.7109375" style="580" customWidth="1"/>
    <col min="45" max="55" width="9.140625" style="27"/>
    <col min="56" max="66" width="9.140625" style="26"/>
    <col min="67" max="16384" width="9.140625" style="580"/>
  </cols>
  <sheetData>
    <row r="1" spans="1:66" ht="21.95" customHeight="1">
      <c r="A1" s="2459" t="s">
        <v>3577</v>
      </c>
      <c r="B1" s="2459"/>
      <c r="C1" s="2459"/>
      <c r="D1" s="2459"/>
      <c r="E1" s="2459"/>
      <c r="F1" s="2459"/>
      <c r="G1" s="2459"/>
      <c r="H1" s="2459"/>
      <c r="I1" s="2459"/>
      <c r="J1" s="2459"/>
      <c r="K1" s="2459"/>
      <c r="L1" s="2459"/>
      <c r="M1" s="2459"/>
      <c r="N1" s="2459"/>
      <c r="O1" s="2459"/>
      <c r="P1" s="2459"/>
      <c r="Q1" s="78"/>
      <c r="R1" s="78"/>
      <c r="S1" s="78"/>
      <c r="T1" s="2461" t="s">
        <v>357</v>
      </c>
      <c r="U1" s="2462"/>
      <c r="V1" s="2462"/>
      <c r="W1" s="2462"/>
      <c r="X1" s="2462"/>
      <c r="Y1" s="2462"/>
      <c r="Z1" s="2462"/>
      <c r="AA1" s="2463"/>
      <c r="AB1" s="78"/>
      <c r="AC1" s="78"/>
      <c r="AD1" s="606"/>
      <c r="AE1" s="606"/>
      <c r="AF1" s="2464" t="s">
        <v>3832</v>
      </c>
      <c r="AG1" s="2465"/>
      <c r="AH1" s="2465"/>
      <c r="AI1" s="2465"/>
      <c r="AJ1" s="2465"/>
      <c r="AK1" s="2465"/>
      <c r="AL1" s="2465"/>
      <c r="AM1" s="2465"/>
      <c r="AN1" s="2465"/>
      <c r="AO1" s="2465"/>
      <c r="AP1" s="2465"/>
      <c r="AQ1" s="2465"/>
      <c r="AR1" s="2466"/>
      <c r="AS1" s="376"/>
      <c r="AT1" s="2215" t="s">
        <v>3643</v>
      </c>
      <c r="AU1" s="2216"/>
      <c r="AV1" s="2216"/>
      <c r="AW1" s="376"/>
    </row>
    <row r="2" spans="1:66" ht="18" customHeight="1">
      <c r="A2" s="2459"/>
      <c r="B2" s="2459"/>
      <c r="C2" s="2459"/>
      <c r="D2" s="2459"/>
      <c r="E2" s="2459"/>
      <c r="F2" s="2459"/>
      <c r="G2" s="2459"/>
      <c r="H2" s="2459"/>
      <c r="I2" s="2459"/>
      <c r="J2" s="2459"/>
      <c r="K2" s="2459"/>
      <c r="L2" s="2459"/>
      <c r="M2" s="2459"/>
      <c r="N2" s="2459"/>
      <c r="O2" s="2459"/>
      <c r="P2" s="2459"/>
      <c r="Q2" s="78"/>
      <c r="R2" s="607"/>
      <c r="S2" s="78"/>
      <c r="T2" s="2493" t="s">
        <v>358</v>
      </c>
      <c r="U2" s="1076"/>
      <c r="V2" s="1076"/>
      <c r="W2" s="1076"/>
      <c r="X2" s="1076"/>
      <c r="Y2" s="1076"/>
      <c r="Z2" s="1076"/>
      <c r="AA2" s="2494"/>
      <c r="AB2" s="78"/>
      <c r="AC2" s="607"/>
      <c r="AD2" s="606"/>
      <c r="AE2" s="606"/>
      <c r="AF2" s="2467"/>
      <c r="AG2" s="2468"/>
      <c r="AH2" s="2468"/>
      <c r="AI2" s="2468"/>
      <c r="AJ2" s="2468"/>
      <c r="AK2" s="2468"/>
      <c r="AL2" s="2468"/>
      <c r="AM2" s="2468"/>
      <c r="AN2" s="2468"/>
      <c r="AO2" s="2468"/>
      <c r="AP2" s="2468"/>
      <c r="AQ2" s="2468"/>
      <c r="AR2" s="2469"/>
      <c r="AS2" s="376"/>
      <c r="AT2" s="578" t="s">
        <v>3595</v>
      </c>
      <c r="AU2" s="578"/>
      <c r="AV2" s="578" t="s">
        <v>3596</v>
      </c>
      <c r="AW2" s="376"/>
    </row>
    <row r="3" spans="1:66" ht="14.25" customHeight="1">
      <c r="A3" s="2459"/>
      <c r="B3" s="2459"/>
      <c r="C3" s="2459"/>
      <c r="D3" s="2459"/>
      <c r="E3" s="2459"/>
      <c r="F3" s="2459"/>
      <c r="G3" s="2459"/>
      <c r="H3" s="2459"/>
      <c r="I3" s="2459"/>
      <c r="J3" s="2459"/>
      <c r="K3" s="2459"/>
      <c r="L3" s="2459"/>
      <c r="M3" s="2459"/>
      <c r="N3" s="2459"/>
      <c r="O3" s="2459"/>
      <c r="P3" s="2459"/>
      <c r="Q3" s="2268"/>
      <c r="R3" s="1076"/>
      <c r="S3" s="2494"/>
      <c r="T3" s="2495" t="s">
        <v>359</v>
      </c>
      <c r="U3" s="1076"/>
      <c r="V3" s="1076"/>
      <c r="W3" s="1076"/>
      <c r="X3" s="1076"/>
      <c r="Y3" s="1076"/>
      <c r="Z3" s="1076"/>
      <c r="AA3" s="2494"/>
      <c r="AB3" s="78"/>
      <c r="AC3" s="78"/>
      <c r="AD3" s="606"/>
      <c r="AE3" s="606"/>
      <c r="AF3" s="2467"/>
      <c r="AG3" s="2468"/>
      <c r="AH3" s="2468"/>
      <c r="AI3" s="2468"/>
      <c r="AJ3" s="2468"/>
      <c r="AK3" s="2468"/>
      <c r="AL3" s="2468"/>
      <c r="AM3" s="2468"/>
      <c r="AN3" s="2468"/>
      <c r="AO3" s="2468"/>
      <c r="AP3" s="2468"/>
      <c r="AQ3" s="2468"/>
      <c r="AR3" s="2469"/>
      <c r="AS3" s="376"/>
      <c r="AT3" s="377"/>
      <c r="AU3" s="376"/>
      <c r="AV3" s="377"/>
      <c r="AW3" s="376"/>
    </row>
    <row r="4" spans="1:66" ht="21.95" customHeight="1">
      <c r="A4" s="2460"/>
      <c r="B4" s="2460"/>
      <c r="C4" s="2460"/>
      <c r="D4" s="2460"/>
      <c r="E4" s="2460"/>
      <c r="F4" s="2460"/>
      <c r="G4" s="2460"/>
      <c r="H4" s="2460"/>
      <c r="I4" s="2460"/>
      <c r="J4" s="2460"/>
      <c r="K4" s="2460"/>
      <c r="L4" s="2460"/>
      <c r="M4" s="2460"/>
      <c r="N4" s="2460"/>
      <c r="O4" s="2460"/>
      <c r="P4" s="2460"/>
      <c r="Q4" s="1076"/>
      <c r="R4" s="1076"/>
      <c r="S4" s="2494"/>
      <c r="T4" s="2496">
        <v>2021</v>
      </c>
      <c r="U4" s="2497"/>
      <c r="V4" s="2497"/>
      <c r="W4" s="2497"/>
      <c r="X4" s="2497"/>
      <c r="Y4" s="2497"/>
      <c r="Z4" s="2497"/>
      <c r="AA4" s="2498"/>
      <c r="AB4" s="78"/>
      <c r="AC4" s="78"/>
      <c r="AD4" s="606"/>
      <c r="AE4" s="606"/>
      <c r="AF4" s="2467"/>
      <c r="AG4" s="2468"/>
      <c r="AH4" s="2468"/>
      <c r="AI4" s="2468"/>
      <c r="AJ4" s="2468"/>
      <c r="AK4" s="2468"/>
      <c r="AL4" s="2468"/>
      <c r="AM4" s="2468"/>
      <c r="AN4" s="2468"/>
      <c r="AO4" s="2468"/>
      <c r="AP4" s="2468"/>
      <c r="AQ4" s="2468"/>
      <c r="AR4" s="2469"/>
      <c r="AS4" s="376"/>
      <c r="AT4" s="376"/>
      <c r="AU4" s="376"/>
      <c r="AV4" s="376"/>
      <c r="AW4" s="376"/>
    </row>
    <row r="5" spans="1:66" ht="15" customHeight="1">
      <c r="A5" s="2499" t="s">
        <v>3953</v>
      </c>
      <c r="B5" s="2499"/>
      <c r="C5" s="2499"/>
      <c r="D5" s="2499"/>
      <c r="E5" s="2499"/>
      <c r="F5" s="2499"/>
      <c r="G5" s="2499"/>
      <c r="H5" s="2499"/>
      <c r="I5" s="2499"/>
      <c r="J5" s="2499"/>
      <c r="K5" s="2499"/>
      <c r="L5" s="2499"/>
      <c r="M5" s="2499"/>
      <c r="N5" s="2499"/>
      <c r="O5" s="2499"/>
      <c r="P5" s="2499"/>
      <c r="Q5" s="2499"/>
      <c r="R5" s="2499"/>
      <c r="S5" s="579"/>
      <c r="T5" s="2500"/>
      <c r="U5" s="2462"/>
      <c r="V5" s="2462"/>
      <c r="W5" s="2462"/>
      <c r="X5" s="2462"/>
      <c r="Y5" s="2462"/>
      <c r="Z5" s="2462"/>
      <c r="AA5" s="2462"/>
      <c r="AB5" s="78"/>
      <c r="AC5" s="78"/>
      <c r="AD5" s="606"/>
      <c r="AE5" s="606"/>
      <c r="AF5" s="2467"/>
      <c r="AG5" s="2468"/>
      <c r="AH5" s="2468"/>
      <c r="AI5" s="2468"/>
      <c r="AJ5" s="2468"/>
      <c r="AK5" s="2468"/>
      <c r="AL5" s="2468"/>
      <c r="AM5" s="2468"/>
      <c r="AN5" s="2468"/>
      <c r="AO5" s="2468"/>
      <c r="AP5" s="2468"/>
      <c r="AQ5" s="2468"/>
      <c r="AR5" s="2469"/>
    </row>
    <row r="6" spans="1:66" ht="15" customHeight="1">
      <c r="A6" s="2499"/>
      <c r="B6" s="2499"/>
      <c r="C6" s="2499"/>
      <c r="D6" s="2499"/>
      <c r="E6" s="2499"/>
      <c r="F6" s="2499"/>
      <c r="G6" s="2499"/>
      <c r="H6" s="2499"/>
      <c r="I6" s="2499"/>
      <c r="J6" s="2499"/>
      <c r="K6" s="2499"/>
      <c r="L6" s="2499"/>
      <c r="M6" s="2499"/>
      <c r="N6" s="2499"/>
      <c r="O6" s="2499"/>
      <c r="P6" s="2499"/>
      <c r="Q6" s="2499"/>
      <c r="R6" s="2499"/>
      <c r="S6" s="579"/>
      <c r="T6" s="78"/>
      <c r="U6" s="2501" t="s">
        <v>64</v>
      </c>
      <c r="V6" s="2501"/>
      <c r="W6" s="2501"/>
      <c r="X6" s="2501"/>
      <c r="Y6" s="2501"/>
      <c r="Z6" s="2501"/>
      <c r="AA6" s="78"/>
      <c r="AB6" s="78"/>
      <c r="AC6" s="78"/>
      <c r="AD6" s="78"/>
      <c r="AE6" s="78"/>
      <c r="AF6" s="2470"/>
      <c r="AG6" s="2471"/>
      <c r="AH6" s="2471"/>
      <c r="AI6" s="2471"/>
      <c r="AJ6" s="2471"/>
      <c r="AK6" s="2471"/>
      <c r="AL6" s="2471"/>
      <c r="AM6" s="2471"/>
      <c r="AN6" s="2471"/>
      <c r="AO6" s="2471"/>
      <c r="AP6" s="2471"/>
      <c r="AQ6" s="2471"/>
      <c r="AR6" s="2472"/>
    </row>
    <row r="7" spans="1:66" ht="10.5" customHeight="1">
      <c r="A7" s="2502" t="s">
        <v>3535</v>
      </c>
      <c r="B7" s="2503"/>
      <c r="C7" s="2503"/>
      <c r="D7" s="2503"/>
      <c r="E7" s="2503"/>
      <c r="F7" s="2503"/>
      <c r="G7" s="2503"/>
      <c r="H7" s="2503"/>
      <c r="I7" s="2503"/>
      <c r="J7" s="2503"/>
      <c r="K7" s="2503"/>
      <c r="L7" s="2503"/>
      <c r="M7" s="2503"/>
      <c r="N7" s="2503"/>
      <c r="O7" s="2503"/>
      <c r="P7" s="2503"/>
      <c r="Q7" s="2503"/>
      <c r="R7" s="2503"/>
      <c r="S7" s="2503"/>
      <c r="T7" s="2504" t="s">
        <v>329</v>
      </c>
      <c r="U7" s="1076"/>
      <c r="V7" s="2505"/>
      <c r="W7" s="263" t="s">
        <v>258</v>
      </c>
      <c r="X7" s="2506" t="s">
        <v>330</v>
      </c>
      <c r="Y7" s="2507"/>
      <c r="Z7" s="263"/>
      <c r="AA7" s="78"/>
      <c r="AB7" s="78"/>
      <c r="AC7" s="78"/>
      <c r="AD7" s="78"/>
      <c r="AE7" s="78"/>
      <c r="AF7" s="2473"/>
      <c r="AG7" s="2474"/>
      <c r="AH7" s="2474"/>
      <c r="AI7" s="2474"/>
      <c r="AJ7" s="2474"/>
      <c r="AK7" s="2474"/>
      <c r="AL7" s="2474"/>
      <c r="AM7" s="2474"/>
      <c r="AN7" s="2474"/>
      <c r="AO7" s="2474"/>
      <c r="AP7" s="2474"/>
      <c r="AQ7" s="2474"/>
      <c r="AR7" s="2475"/>
    </row>
    <row r="8" spans="1:66">
      <c r="A8" s="2457" t="s">
        <v>91</v>
      </c>
      <c r="B8" s="2457"/>
      <c r="C8" s="2457"/>
      <c r="D8" s="2457"/>
      <c r="E8" s="2457"/>
      <c r="F8" s="2457"/>
      <c r="G8" s="2457"/>
      <c r="H8" s="2457"/>
      <c r="I8" s="2457"/>
      <c r="J8" s="2457"/>
      <c r="K8" s="2457"/>
      <c r="L8" s="2457"/>
      <c r="M8" s="2457"/>
      <c r="N8" s="2457"/>
      <c r="O8" s="2457"/>
      <c r="P8" s="2457"/>
      <c r="Q8" s="2457"/>
      <c r="R8" s="2457"/>
      <c r="S8" s="2457"/>
      <c r="T8" s="2457"/>
      <c r="U8" s="2457"/>
      <c r="V8" s="2457"/>
      <c r="W8" s="2457"/>
      <c r="X8" s="2457"/>
      <c r="Y8" s="2457"/>
      <c r="Z8" s="2457"/>
      <c r="AA8" s="2457"/>
      <c r="AB8" s="2457"/>
      <c r="AC8" s="2457"/>
      <c r="AD8" s="2457"/>
      <c r="AE8" s="2457"/>
      <c r="AF8" s="2457"/>
      <c r="AG8" s="2457"/>
      <c r="AH8" s="2457"/>
      <c r="AI8" s="2457"/>
      <c r="AJ8" s="2457"/>
      <c r="AK8" s="2457"/>
      <c r="AL8" s="2457"/>
      <c r="AM8" s="2457"/>
      <c r="AN8" s="2457"/>
      <c r="AO8" s="2457"/>
      <c r="AP8" s="2457"/>
      <c r="AQ8" s="2457"/>
      <c r="AR8" s="2457"/>
    </row>
    <row r="9" spans="1:66" ht="15" customHeight="1">
      <c r="A9" s="2318" t="s">
        <v>121</v>
      </c>
      <c r="B9" s="2443"/>
      <c r="C9" s="2443"/>
      <c r="D9" s="2443"/>
      <c r="E9" s="2443"/>
      <c r="F9" s="2443"/>
      <c r="G9" s="2443"/>
      <c r="H9" s="2443"/>
      <c r="I9" s="2443"/>
      <c r="J9" s="2443"/>
      <c r="K9" s="2443"/>
      <c r="L9" s="2443"/>
      <c r="M9" s="2443"/>
      <c r="N9" s="2443"/>
      <c r="O9" s="2443"/>
      <c r="P9" s="2443"/>
      <c r="Q9" s="2443"/>
      <c r="R9" s="2443"/>
      <c r="S9" s="2443"/>
      <c r="T9" s="2443"/>
      <c r="U9" s="2443"/>
      <c r="V9" s="2443"/>
      <c r="W9" s="2443"/>
      <c r="X9" s="2443"/>
      <c r="Y9" s="2443"/>
      <c r="Z9" s="2443"/>
      <c r="AA9" s="2443"/>
      <c r="AB9" s="2443"/>
      <c r="AC9" s="2443"/>
      <c r="AD9" s="2443"/>
      <c r="AE9" s="2443"/>
      <c r="AF9" s="2443"/>
      <c r="AG9" s="2443"/>
      <c r="AH9" s="2443"/>
      <c r="AI9" s="2443"/>
      <c r="AJ9" s="2443"/>
      <c r="AK9" s="2443"/>
      <c r="AL9" s="2443"/>
      <c r="AM9" s="2443"/>
      <c r="AN9" s="2443"/>
      <c r="AO9" s="2443"/>
      <c r="AP9" s="2443"/>
      <c r="AQ9" s="2443"/>
      <c r="AR9" s="2458"/>
    </row>
    <row r="10" spans="1:66" s="613" customFormat="1" ht="9.9499999999999993" customHeight="1">
      <c r="A10" s="2476" t="s">
        <v>98</v>
      </c>
      <c r="B10" s="2477"/>
      <c r="C10" s="2477"/>
      <c r="D10" s="2477"/>
      <c r="E10" s="2477"/>
      <c r="F10" s="2477"/>
      <c r="G10" s="2477"/>
      <c r="H10" s="2477"/>
      <c r="I10" s="2477"/>
      <c r="J10" s="2477"/>
      <c r="K10" s="2477"/>
      <c r="L10" s="2477"/>
      <c r="M10" s="2477"/>
      <c r="N10" s="2477"/>
      <c r="O10" s="2477"/>
      <c r="P10" s="2477"/>
      <c r="Q10" s="2477"/>
      <c r="R10" s="2477"/>
      <c r="S10" s="2477"/>
      <c r="T10" s="2477"/>
      <c r="U10" s="2477"/>
      <c r="V10" s="2477"/>
      <c r="W10" s="2477"/>
      <c r="X10" s="732"/>
      <c r="Y10" s="2477" t="s">
        <v>97</v>
      </c>
      <c r="Z10" s="2477"/>
      <c r="AA10" s="2477"/>
      <c r="AB10" s="2477"/>
      <c r="AC10" s="2477"/>
      <c r="AD10" s="2477"/>
      <c r="AE10" s="2477"/>
      <c r="AF10" s="2477"/>
      <c r="AG10" s="2477"/>
      <c r="AH10" s="2477"/>
      <c r="AI10" s="2477"/>
      <c r="AJ10" s="2477"/>
      <c r="AK10" s="2477"/>
      <c r="AL10" s="2477"/>
      <c r="AM10" s="732"/>
      <c r="AN10" s="2477" t="s">
        <v>116</v>
      </c>
      <c r="AO10" s="2477"/>
      <c r="AP10" s="2477"/>
      <c r="AQ10" s="2477"/>
      <c r="AR10" s="2491"/>
      <c r="AS10" s="611"/>
      <c r="AT10" s="611"/>
      <c r="AU10" s="611"/>
      <c r="AV10" s="611"/>
      <c r="AW10" s="611"/>
      <c r="AX10" s="611"/>
      <c r="AY10" s="611"/>
      <c r="AZ10" s="611"/>
      <c r="BA10" s="611"/>
      <c r="BB10" s="611"/>
      <c r="BC10" s="611"/>
      <c r="BD10" s="612"/>
      <c r="BE10" s="612"/>
      <c r="BF10" s="612"/>
      <c r="BG10" s="612"/>
      <c r="BH10" s="612"/>
      <c r="BI10" s="612"/>
      <c r="BJ10" s="612"/>
      <c r="BK10" s="612"/>
      <c r="BL10" s="612"/>
      <c r="BM10" s="612"/>
      <c r="BN10" s="612"/>
    </row>
    <row r="11" spans="1:66" s="577" customFormat="1" ht="24" customHeight="1">
      <c r="A11" s="2483" t="str">
        <f>+CONCATENATE(ZAKL_DATA!B5)</f>
        <v/>
      </c>
      <c r="B11" s="2484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733"/>
      <c r="Y11" s="2483" t="str">
        <f>+CONCATENATE(+ZAKL_DATA!B4)</f>
        <v/>
      </c>
      <c r="Z11" s="2484"/>
      <c r="AA11" s="2484"/>
      <c r="AB11" s="2484"/>
      <c r="AC11" s="2484"/>
      <c r="AD11" s="2484"/>
      <c r="AE11" s="2484"/>
      <c r="AF11" s="2484"/>
      <c r="AG11" s="2484"/>
      <c r="AH11" s="2484"/>
      <c r="AI11" s="2484"/>
      <c r="AJ11" s="2484"/>
      <c r="AK11" s="2484"/>
      <c r="AL11" s="2485"/>
      <c r="AM11" s="733"/>
      <c r="AN11" s="2492" t="str">
        <f>+CONCATENATE(+ZAKL_DATA!B7)</f>
        <v/>
      </c>
      <c r="AO11" s="2438"/>
      <c r="AP11" s="2438"/>
      <c r="AQ11" s="2438"/>
      <c r="AR11" s="2439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274"/>
      <c r="BE11" s="274"/>
      <c r="BF11" s="274"/>
      <c r="BG11" s="274"/>
      <c r="BH11" s="274"/>
      <c r="BI11" s="274"/>
      <c r="BJ11" s="274"/>
      <c r="BK11" s="274"/>
      <c r="BL11" s="274"/>
      <c r="BM11" s="274"/>
      <c r="BN11" s="274"/>
    </row>
    <row r="12" spans="1:66" s="613" customFormat="1" ht="9.9499999999999993" customHeight="1">
      <c r="A12" s="2476" t="s">
        <v>271</v>
      </c>
      <c r="B12" s="2477"/>
      <c r="C12" s="2477"/>
      <c r="D12" s="2477"/>
      <c r="E12" s="2477"/>
      <c r="F12" s="2477"/>
      <c r="G12" s="2477"/>
      <c r="H12" s="2477"/>
      <c r="I12" s="2477"/>
      <c r="J12" s="2477"/>
      <c r="K12" s="2477"/>
      <c r="L12" s="2477"/>
      <c r="M12" s="2477"/>
      <c r="N12" s="2477"/>
      <c r="O12" s="2477"/>
      <c r="P12" s="2477"/>
      <c r="Q12" s="2477"/>
      <c r="R12" s="2477"/>
      <c r="S12" s="2477"/>
      <c r="T12" s="2477"/>
      <c r="U12" s="2477"/>
      <c r="V12" s="2477"/>
      <c r="W12" s="2477"/>
      <c r="X12" s="732"/>
      <c r="Y12" s="2478" t="s">
        <v>3641</v>
      </c>
      <c r="Z12" s="2478"/>
      <c r="AA12" s="2478"/>
      <c r="AB12" s="2478"/>
      <c r="AC12" s="2479"/>
      <c r="AD12" s="2479"/>
      <c r="AE12" s="2479"/>
      <c r="AF12" s="2479"/>
      <c r="AG12" s="734"/>
      <c r="AH12" s="2480" t="s">
        <v>3536</v>
      </c>
      <c r="AI12" s="2481"/>
      <c r="AJ12" s="2481"/>
      <c r="AK12" s="2481"/>
      <c r="AL12" s="2481"/>
      <c r="AM12" s="2481"/>
      <c r="AN12" s="2481"/>
      <c r="AO12" s="2481"/>
      <c r="AP12" s="2481"/>
      <c r="AQ12" s="2481"/>
      <c r="AR12" s="2482"/>
      <c r="AS12" s="611"/>
      <c r="AT12" s="611"/>
      <c r="AU12" s="611"/>
      <c r="AV12" s="611"/>
      <c r="AW12" s="611"/>
      <c r="AX12" s="611"/>
      <c r="AY12" s="611"/>
      <c r="AZ12" s="611"/>
      <c r="BA12" s="611"/>
      <c r="BB12" s="611"/>
      <c r="BC12" s="611"/>
      <c r="BD12" s="612"/>
      <c r="BE12" s="612"/>
      <c r="BF12" s="612"/>
      <c r="BG12" s="612"/>
      <c r="BH12" s="612"/>
      <c r="BI12" s="612"/>
      <c r="BJ12" s="612"/>
      <c r="BK12" s="612"/>
      <c r="BL12" s="612"/>
      <c r="BM12" s="612"/>
      <c r="BN12" s="612"/>
    </row>
    <row r="13" spans="1:66" s="577" customFormat="1" ht="24" customHeight="1">
      <c r="A13" s="2483" t="str">
        <f>+CONCATENATE(+ZAKL_DATA!B16)</f>
        <v/>
      </c>
      <c r="B13" s="2484"/>
      <c r="C13" s="2484"/>
      <c r="D13" s="2484"/>
      <c r="E13" s="2484"/>
      <c r="F13" s="2484"/>
      <c r="G13" s="2484"/>
      <c r="H13" s="2484"/>
      <c r="I13" s="2484"/>
      <c r="J13" s="2484"/>
      <c r="K13" s="2484"/>
      <c r="L13" s="2484"/>
      <c r="M13" s="2484"/>
      <c r="N13" s="2484"/>
      <c r="O13" s="2484"/>
      <c r="P13" s="2484"/>
      <c r="Q13" s="2484"/>
      <c r="R13" s="2484"/>
      <c r="S13" s="2484"/>
      <c r="T13" s="2484"/>
      <c r="U13" s="2484"/>
      <c r="V13" s="2484"/>
      <c r="W13" s="2485"/>
      <c r="X13" s="733"/>
      <c r="Y13" s="2422" t="str">
        <f>+CONCATENATE(ZAKL_DATA!B17)</f>
        <v/>
      </c>
      <c r="Z13" s="2486"/>
      <c r="AA13" s="2486"/>
      <c r="AB13" s="2486"/>
      <c r="AC13" s="2423"/>
      <c r="AD13" s="2423"/>
      <c r="AE13" s="2423"/>
      <c r="AF13" s="2424"/>
      <c r="AG13" s="733"/>
      <c r="AH13" s="2487" t="str">
        <f>+CONCATENATE('DAP1'!A9)</f>
        <v/>
      </c>
      <c r="AI13" s="2488"/>
      <c r="AJ13" s="2488"/>
      <c r="AK13" s="2488"/>
      <c r="AL13" s="2488"/>
      <c r="AM13" s="2488"/>
      <c r="AN13" s="2489"/>
      <c r="AO13" s="2489"/>
      <c r="AP13" s="2489"/>
      <c r="AQ13" s="2489"/>
      <c r="AR13" s="2490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274"/>
      <c r="BE13" s="274"/>
      <c r="BF13" s="274"/>
      <c r="BG13" s="274"/>
      <c r="BH13" s="274"/>
      <c r="BI13" s="274"/>
      <c r="BJ13" s="274"/>
      <c r="BK13" s="274"/>
      <c r="BL13" s="274"/>
      <c r="BM13" s="274"/>
      <c r="BN13" s="274"/>
    </row>
    <row r="14" spans="1:66" s="613" customFormat="1" ht="12.6" customHeight="1">
      <c r="A14" s="2417" t="s">
        <v>214</v>
      </c>
      <c r="B14" s="2418"/>
      <c r="C14" s="2418"/>
      <c r="D14" s="2418"/>
      <c r="E14" s="2418"/>
      <c r="F14" s="2418"/>
      <c r="G14" s="732"/>
      <c r="H14" s="2419" t="s">
        <v>272</v>
      </c>
      <c r="I14" s="2419"/>
      <c r="J14" s="2419"/>
      <c r="K14" s="2419"/>
      <c r="L14" s="2419"/>
      <c r="M14" s="2419"/>
      <c r="N14" s="2419"/>
      <c r="O14" s="2419"/>
      <c r="P14" s="2419"/>
      <c r="Q14" s="2419"/>
      <c r="R14" s="2419"/>
      <c r="S14" s="2419"/>
      <c r="T14" s="2419"/>
      <c r="U14" s="2419"/>
      <c r="V14" s="2419"/>
      <c r="W14" s="2419"/>
      <c r="X14" s="2419"/>
      <c r="Y14" s="2419"/>
      <c r="Z14" s="2419"/>
      <c r="AA14" s="2419"/>
      <c r="AB14" s="2419"/>
      <c r="AC14" s="2419"/>
      <c r="AD14" s="2419"/>
      <c r="AE14" s="2419"/>
      <c r="AF14" s="2419"/>
      <c r="AG14" s="2419"/>
      <c r="AH14" s="2419"/>
      <c r="AI14" s="2419"/>
      <c r="AJ14" s="732"/>
      <c r="AK14" s="2420" t="s">
        <v>3537</v>
      </c>
      <c r="AL14" s="2420"/>
      <c r="AM14" s="2420"/>
      <c r="AN14" s="2420"/>
      <c r="AO14" s="2420"/>
      <c r="AP14" s="2420"/>
      <c r="AQ14" s="2420"/>
      <c r="AR14" s="2421"/>
      <c r="AS14" s="611"/>
      <c r="AT14" s="611"/>
      <c r="AU14" s="611"/>
      <c r="AV14" s="611"/>
      <c r="AW14" s="611"/>
      <c r="AX14" s="611"/>
      <c r="AY14" s="611"/>
      <c r="AZ14" s="611"/>
      <c r="BA14" s="611"/>
      <c r="BB14" s="611"/>
      <c r="BC14" s="611"/>
      <c r="BD14" s="612"/>
      <c r="BE14" s="612"/>
      <c r="BF14" s="612"/>
      <c r="BG14" s="612"/>
      <c r="BH14" s="612"/>
      <c r="BI14" s="612"/>
      <c r="BJ14" s="612"/>
      <c r="BK14" s="612"/>
      <c r="BL14" s="612"/>
      <c r="BM14" s="612"/>
      <c r="BN14" s="612"/>
    </row>
    <row r="15" spans="1:66" s="577" customFormat="1" ht="24" customHeight="1">
      <c r="A15" s="2422" t="str">
        <f>CONCATENATE(+ZAKL_DATA!B19)</f>
        <v/>
      </c>
      <c r="B15" s="2423"/>
      <c r="C15" s="2423"/>
      <c r="D15" s="2423"/>
      <c r="E15" s="2423"/>
      <c r="F15" s="2424"/>
      <c r="G15" s="733"/>
      <c r="H15" s="2425" t="str">
        <f>+CONCATENATE(ZAKL_DATA!B18)</f>
        <v/>
      </c>
      <c r="I15" s="2426"/>
      <c r="J15" s="2426"/>
      <c r="K15" s="2426"/>
      <c r="L15" s="2426"/>
      <c r="M15" s="2426"/>
      <c r="N15" s="2426"/>
      <c r="O15" s="2426"/>
      <c r="P15" s="2426"/>
      <c r="Q15" s="2426"/>
      <c r="R15" s="2426"/>
      <c r="S15" s="2426"/>
      <c r="T15" s="2426"/>
      <c r="U15" s="2426"/>
      <c r="V15" s="2426"/>
      <c r="W15" s="2426"/>
      <c r="X15" s="2426"/>
      <c r="Y15" s="2426"/>
      <c r="Z15" s="2426"/>
      <c r="AA15" s="2426"/>
      <c r="AB15" s="2426"/>
      <c r="AC15" s="2426"/>
      <c r="AD15" s="2426"/>
      <c r="AE15" s="2426"/>
      <c r="AF15" s="2426"/>
      <c r="AG15" s="2426"/>
      <c r="AH15" s="2426"/>
      <c r="AI15" s="2427"/>
      <c r="AJ15" s="733"/>
      <c r="AK15" s="2428" t="str">
        <f>+CONCATENATE(+ZAKL_DATA!B10)</f>
        <v/>
      </c>
      <c r="AL15" s="2429"/>
      <c r="AM15" s="2429"/>
      <c r="AN15" s="2429"/>
      <c r="AO15" s="2429"/>
      <c r="AP15" s="2429"/>
      <c r="AQ15" s="2429"/>
      <c r="AR15" s="2430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274"/>
      <c r="BE15" s="274"/>
      <c r="BF15" s="274"/>
      <c r="BG15" s="274"/>
      <c r="BH15" s="274"/>
      <c r="BI15" s="274"/>
      <c r="BJ15" s="274"/>
      <c r="BK15" s="274"/>
      <c r="BL15" s="274"/>
      <c r="BM15" s="274"/>
      <c r="BN15" s="274"/>
    </row>
    <row r="16" spans="1:66" s="613" customFormat="1" ht="9.9499999999999993" customHeight="1">
      <c r="A16" s="2452" t="s">
        <v>3538</v>
      </c>
      <c r="B16" s="2453"/>
      <c r="C16" s="2453"/>
      <c r="D16" s="2453"/>
      <c r="E16" s="2453"/>
      <c r="F16" s="2453"/>
      <c r="G16" s="2453"/>
      <c r="H16" s="2453"/>
      <c r="I16" s="2453"/>
      <c r="J16" s="2453"/>
      <c r="K16" s="2347"/>
      <c r="L16" s="2347"/>
      <c r="M16" s="2347"/>
      <c r="N16" s="2347"/>
      <c r="O16" s="2347"/>
      <c r="P16" s="2347"/>
      <c r="Q16" s="2347"/>
      <c r="R16" s="2347"/>
      <c r="S16" s="2347"/>
      <c r="T16" s="2347"/>
      <c r="U16" s="2347"/>
      <c r="V16" s="2347"/>
      <c r="W16" s="2347"/>
      <c r="X16" s="2347"/>
      <c r="Y16" s="2347"/>
      <c r="Z16" s="2347"/>
      <c r="AA16" s="2347"/>
      <c r="AB16" s="2347"/>
      <c r="AC16" s="2347"/>
      <c r="AD16" s="2347"/>
      <c r="AE16" s="2347"/>
      <c r="AF16" s="732"/>
      <c r="AG16" s="2419" t="s">
        <v>31</v>
      </c>
      <c r="AH16" s="2419"/>
      <c r="AI16" s="2419"/>
      <c r="AJ16" s="2419"/>
      <c r="AK16" s="2419"/>
      <c r="AL16" s="2419"/>
      <c r="AM16" s="2419"/>
      <c r="AN16" s="2419"/>
      <c r="AO16" s="2419"/>
      <c r="AP16" s="2419"/>
      <c r="AQ16" s="2419"/>
      <c r="AR16" s="2517"/>
      <c r="AS16" s="611"/>
      <c r="AT16" s="611"/>
      <c r="AU16" s="611"/>
      <c r="AV16" s="611"/>
      <c r="AW16" s="611"/>
      <c r="AX16" s="611"/>
      <c r="AY16" s="611"/>
      <c r="AZ16" s="611"/>
      <c r="BA16" s="611"/>
      <c r="BB16" s="611"/>
      <c r="BC16" s="611"/>
      <c r="BD16" s="612"/>
      <c r="BE16" s="612"/>
      <c r="BF16" s="612"/>
      <c r="BG16" s="612"/>
      <c r="BH16" s="612"/>
      <c r="BI16" s="612"/>
      <c r="BJ16" s="612"/>
      <c r="BK16" s="612"/>
      <c r="BL16" s="612"/>
      <c r="BM16" s="612"/>
      <c r="BN16" s="612"/>
    </row>
    <row r="17" spans="1:66" s="577" customFormat="1" ht="24" customHeight="1">
      <c r="A17" s="2454" t="str">
        <f>+CONCATENATE(ZAKL_DATA!B32," / ",ZAKL_DATA!B33)</f>
        <v xml:space="preserve"> / </v>
      </c>
      <c r="B17" s="2455"/>
      <c r="C17" s="2455"/>
      <c r="D17" s="2455"/>
      <c r="E17" s="2455"/>
      <c r="F17" s="2455"/>
      <c r="G17" s="2455"/>
      <c r="H17" s="2455"/>
      <c r="I17" s="2455"/>
      <c r="J17" s="2455"/>
      <c r="K17" s="2455"/>
      <c r="L17" s="2455"/>
      <c r="M17" s="2455"/>
      <c r="N17" s="2455"/>
      <c r="O17" s="2455"/>
      <c r="P17" s="2455"/>
      <c r="Q17" s="2455"/>
      <c r="R17" s="2455"/>
      <c r="S17" s="2455"/>
      <c r="T17" s="2455"/>
      <c r="U17" s="2455"/>
      <c r="V17" s="2455"/>
      <c r="W17" s="2455"/>
      <c r="X17" s="2455"/>
      <c r="Y17" s="2455"/>
      <c r="Z17" s="2455"/>
      <c r="AA17" s="2455"/>
      <c r="AB17" s="2455"/>
      <c r="AC17" s="2455"/>
      <c r="AD17" s="2455"/>
      <c r="AE17" s="2456"/>
      <c r="AF17" s="735"/>
      <c r="AG17" s="2518" t="str">
        <f>++CONCATENATE(ZAKL_DATA!B25)</f>
        <v/>
      </c>
      <c r="AH17" s="2519"/>
      <c r="AI17" s="2519"/>
      <c r="AJ17" s="2519"/>
      <c r="AK17" s="2519"/>
      <c r="AL17" s="2519"/>
      <c r="AM17" s="2519"/>
      <c r="AN17" s="2519"/>
      <c r="AO17" s="2519"/>
      <c r="AP17" s="2519"/>
      <c r="AQ17" s="2519"/>
      <c r="AR17" s="2520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274"/>
      <c r="BE17" s="274"/>
      <c r="BF17" s="274"/>
      <c r="BG17" s="274"/>
      <c r="BH17" s="274"/>
      <c r="BI17" s="274"/>
      <c r="BJ17" s="274"/>
      <c r="BK17" s="274"/>
      <c r="BL17" s="274"/>
      <c r="BM17" s="274"/>
      <c r="BN17" s="274"/>
    </row>
    <row r="18" spans="1:66" s="613" customFormat="1" ht="9.9499999999999993" customHeight="1">
      <c r="A18" s="2434" t="s">
        <v>215</v>
      </c>
      <c r="B18" s="2435"/>
      <c r="C18" s="2435"/>
      <c r="D18" s="2435"/>
      <c r="E18" s="2435"/>
      <c r="F18" s="2435"/>
      <c r="G18" s="2435"/>
      <c r="H18" s="2435"/>
      <c r="I18" s="2435"/>
      <c r="J18" s="2435"/>
      <c r="K18" s="2435"/>
      <c r="L18" s="2435"/>
      <c r="M18" s="2435"/>
      <c r="N18" s="2435"/>
      <c r="O18" s="2435"/>
      <c r="P18" s="2435"/>
      <c r="Q18" s="2435"/>
      <c r="R18" s="2435"/>
      <c r="S18" s="2435"/>
      <c r="T18" s="2435"/>
      <c r="U18" s="2435"/>
      <c r="V18" s="2435"/>
      <c r="W18" s="2435"/>
      <c r="X18" s="2435"/>
      <c r="Y18" s="2435"/>
      <c r="Z18" s="2435"/>
      <c r="AA18" s="2435"/>
      <c r="AB18" s="2435"/>
      <c r="AC18" s="2435"/>
      <c r="AD18" s="2435"/>
      <c r="AE18" s="2435"/>
      <c r="AF18" s="2435"/>
      <c r="AG18" s="2435"/>
      <c r="AH18" s="2435"/>
      <c r="AI18" s="2435"/>
      <c r="AJ18" s="2435"/>
      <c r="AK18" s="2435"/>
      <c r="AL18" s="2435"/>
      <c r="AM18" s="2435"/>
      <c r="AN18" s="2435"/>
      <c r="AO18" s="2435"/>
      <c r="AP18" s="2435"/>
      <c r="AQ18" s="2435"/>
      <c r="AR18" s="2436"/>
      <c r="AS18" s="611"/>
      <c r="AT18" s="611"/>
      <c r="AU18" s="611"/>
      <c r="AV18" s="611"/>
      <c r="AW18" s="611"/>
      <c r="AX18" s="611"/>
      <c r="AY18" s="611"/>
      <c r="AZ18" s="611"/>
      <c r="BA18" s="611"/>
      <c r="BB18" s="611"/>
      <c r="BC18" s="611"/>
      <c r="BD18" s="612"/>
      <c r="BE18" s="612"/>
      <c r="BF18" s="612"/>
      <c r="BG18" s="612"/>
      <c r="BH18" s="612"/>
      <c r="BI18" s="612"/>
      <c r="BJ18" s="612"/>
      <c r="BK18" s="612"/>
      <c r="BL18" s="612"/>
      <c r="BM18" s="612"/>
      <c r="BN18" s="612"/>
    </row>
    <row r="19" spans="1:66" s="577" customFormat="1" ht="24" customHeight="1">
      <c r="A19" s="2437" t="str">
        <f>+CONCATENATE(ZAKL_DATA!B27)</f>
        <v/>
      </c>
      <c r="B19" s="2438"/>
      <c r="C19" s="2438"/>
      <c r="D19" s="2438"/>
      <c r="E19" s="2438"/>
      <c r="F19" s="2438"/>
      <c r="G19" s="2438"/>
      <c r="H19" s="2438"/>
      <c r="I19" s="2438"/>
      <c r="J19" s="2438"/>
      <c r="K19" s="2438"/>
      <c r="L19" s="2438"/>
      <c r="M19" s="2438"/>
      <c r="N19" s="2438"/>
      <c r="O19" s="2438"/>
      <c r="P19" s="2438"/>
      <c r="Q19" s="2438"/>
      <c r="R19" s="2438"/>
      <c r="S19" s="2438"/>
      <c r="T19" s="2438"/>
      <c r="U19" s="2438"/>
      <c r="V19" s="2438"/>
      <c r="W19" s="2438"/>
      <c r="X19" s="2438"/>
      <c r="Y19" s="2438"/>
      <c r="Z19" s="2438"/>
      <c r="AA19" s="2438"/>
      <c r="AB19" s="2438"/>
      <c r="AC19" s="2438"/>
      <c r="AD19" s="2438"/>
      <c r="AE19" s="2438"/>
      <c r="AF19" s="2438"/>
      <c r="AG19" s="2438"/>
      <c r="AH19" s="2438"/>
      <c r="AI19" s="2438"/>
      <c r="AJ19" s="2438"/>
      <c r="AK19" s="2438"/>
      <c r="AL19" s="2438"/>
      <c r="AM19" s="2438"/>
      <c r="AN19" s="2438"/>
      <c r="AO19" s="2438"/>
      <c r="AP19" s="2438"/>
      <c r="AQ19" s="2438"/>
      <c r="AR19" s="2439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274"/>
      <c r="BE19" s="274"/>
      <c r="BF19" s="274"/>
      <c r="BG19" s="274"/>
      <c r="BH19" s="274"/>
      <c r="BI19" s="274"/>
      <c r="BJ19" s="274"/>
      <c r="BK19" s="274"/>
      <c r="BL19" s="274"/>
      <c r="BM19" s="274"/>
      <c r="BN19" s="274"/>
    </row>
    <row r="20" spans="1:66" ht="5.0999999999999996" customHeight="1">
      <c r="A20" s="2440"/>
      <c r="B20" s="2441"/>
      <c r="C20" s="2441"/>
      <c r="D20" s="2441"/>
      <c r="E20" s="2441"/>
      <c r="F20" s="2441"/>
      <c r="G20" s="2441"/>
      <c r="H20" s="2441"/>
      <c r="I20" s="2441"/>
      <c r="J20" s="2441"/>
      <c r="K20" s="2441"/>
      <c r="L20" s="2441"/>
      <c r="M20" s="2441"/>
      <c r="N20" s="2441"/>
      <c r="O20" s="2441"/>
      <c r="P20" s="2441"/>
      <c r="Q20" s="2441"/>
      <c r="R20" s="2441"/>
      <c r="S20" s="2441"/>
      <c r="T20" s="2441"/>
      <c r="U20" s="2441"/>
      <c r="V20" s="2441"/>
      <c r="W20" s="2441"/>
      <c r="X20" s="2441"/>
      <c r="Y20" s="2441"/>
      <c r="Z20" s="2441"/>
      <c r="AA20" s="2441"/>
      <c r="AB20" s="2441"/>
      <c r="AC20" s="2441"/>
      <c r="AD20" s="2441"/>
      <c r="AE20" s="2441"/>
      <c r="AF20" s="2441"/>
      <c r="AG20" s="2441"/>
      <c r="AH20" s="2441"/>
      <c r="AI20" s="2441"/>
      <c r="AJ20" s="2441"/>
      <c r="AK20" s="2441"/>
      <c r="AL20" s="2441"/>
      <c r="AM20" s="2441"/>
      <c r="AN20" s="2441"/>
      <c r="AO20" s="2441"/>
      <c r="AP20" s="2441"/>
      <c r="AQ20" s="2441"/>
      <c r="AR20" s="2442"/>
    </row>
    <row r="21" spans="1:66" ht="15" customHeight="1">
      <c r="A21" s="2318" t="s">
        <v>216</v>
      </c>
      <c r="B21" s="2443"/>
      <c r="C21" s="2443"/>
      <c r="D21" s="2443"/>
      <c r="E21" s="2443"/>
      <c r="F21" s="2443"/>
      <c r="G21" s="2443"/>
      <c r="H21" s="2443"/>
      <c r="I21" s="2443"/>
      <c r="J21" s="2443"/>
      <c r="K21" s="2443"/>
      <c r="L21" s="2443"/>
      <c r="M21" s="2443"/>
      <c r="N21" s="2443"/>
      <c r="O21" s="2443"/>
      <c r="P21" s="2443"/>
      <c r="Q21" s="2443"/>
      <c r="R21" s="2443"/>
      <c r="S21" s="2443"/>
      <c r="T21" s="2443"/>
      <c r="U21" s="2443"/>
      <c r="V21" s="2443"/>
      <c r="W21" s="2443"/>
      <c r="X21" s="2443"/>
      <c r="Y21" s="2443"/>
      <c r="Z21" s="2443"/>
      <c r="AA21" s="2443"/>
      <c r="AB21" s="2443"/>
      <c r="AC21" s="2319"/>
      <c r="AD21" s="2319"/>
      <c r="AE21" s="2319"/>
      <c r="AF21" s="2319"/>
      <c r="AG21" s="2319"/>
      <c r="AH21" s="2319"/>
      <c r="AI21" s="2319"/>
      <c r="AJ21" s="2319"/>
      <c r="AK21" s="2319"/>
      <c r="AL21" s="2319"/>
      <c r="AM21" s="2319"/>
      <c r="AN21" s="2319"/>
      <c r="AO21" s="2319"/>
      <c r="AP21" s="2319"/>
      <c r="AQ21" s="2319"/>
      <c r="AR21" s="2444"/>
    </row>
    <row r="22" spans="1:66" ht="18" customHeight="1">
      <c r="A22" s="736"/>
      <c r="B22" s="2445" t="s">
        <v>3954</v>
      </c>
      <c r="C22" s="2446"/>
      <c r="D22" s="2446"/>
      <c r="E22" s="2446"/>
      <c r="F22" s="2446"/>
      <c r="G22" s="2446"/>
      <c r="H22" s="2446"/>
      <c r="I22" s="2446"/>
      <c r="J22" s="2446"/>
      <c r="K22" s="2446"/>
      <c r="L22" s="2446"/>
      <c r="M22" s="2446"/>
      <c r="N22" s="2446"/>
      <c r="O22" s="2446"/>
      <c r="P22" s="2446"/>
      <c r="Q22" s="2446"/>
      <c r="R22" s="2446"/>
      <c r="S22" s="2446"/>
      <c r="T22" s="2446"/>
      <c r="U22" s="2446"/>
      <c r="V22" s="2446"/>
      <c r="W22" s="2446"/>
      <c r="X22" s="2446"/>
      <c r="Y22" s="2446"/>
      <c r="Z22" s="2446"/>
      <c r="AA22" s="2446"/>
      <c r="AB22" s="2447"/>
      <c r="AC22" s="2448"/>
      <c r="AD22" s="2448"/>
      <c r="AE22" s="2448"/>
      <c r="AF22" s="2448"/>
      <c r="AG22" s="2448"/>
      <c r="AH22" s="2448"/>
      <c r="AI22" s="2448"/>
      <c r="AJ22" s="2448"/>
      <c r="AK22" s="2448"/>
      <c r="AL22" s="2448"/>
      <c r="AM22" s="2448"/>
      <c r="AN22" s="2448"/>
      <c r="AO22" s="2448"/>
      <c r="AP22" s="2448"/>
      <c r="AQ22" s="2448"/>
      <c r="AR22" s="2449"/>
    </row>
    <row r="23" spans="1:66" ht="18" customHeight="1">
      <c r="A23" s="737"/>
      <c r="B23" s="738">
        <v>1</v>
      </c>
      <c r="C23" s="738">
        <v>2</v>
      </c>
      <c r="D23" s="738">
        <v>3</v>
      </c>
      <c r="E23" s="738">
        <v>4</v>
      </c>
      <c r="F23" s="738">
        <v>5</v>
      </c>
      <c r="G23" s="738">
        <v>6</v>
      </c>
      <c r="H23" s="738">
        <v>7</v>
      </c>
      <c r="I23" s="738">
        <v>8</v>
      </c>
      <c r="J23" s="738">
        <v>9</v>
      </c>
      <c r="K23" s="738">
        <v>10</v>
      </c>
      <c r="L23" s="738">
        <v>11</v>
      </c>
      <c r="M23" s="738">
        <v>12</v>
      </c>
      <c r="N23" s="2431" t="s">
        <v>239</v>
      </c>
      <c r="O23" s="2432"/>
      <c r="P23" s="2413"/>
      <c r="Q23" s="2413"/>
      <c r="R23" s="2413"/>
      <c r="S23" s="2413"/>
      <c r="T23" s="2433" t="s">
        <v>217</v>
      </c>
      <c r="U23" s="2364"/>
      <c r="V23" s="2364"/>
      <c r="W23" s="2364"/>
      <c r="X23" s="2433" t="s">
        <v>218</v>
      </c>
      <c r="Y23" s="2364"/>
      <c r="Z23" s="2364"/>
      <c r="AA23" s="2364"/>
      <c r="AB23" s="727"/>
      <c r="AC23" s="726"/>
      <c r="AD23" s="2450" t="s">
        <v>3955</v>
      </c>
      <c r="AE23" s="2450"/>
      <c r="AF23" s="2450"/>
      <c r="AG23" s="2450"/>
      <c r="AH23" s="2450"/>
      <c r="AI23" s="2450"/>
      <c r="AJ23" s="2450"/>
      <c r="AK23" s="2450"/>
      <c r="AL23" s="2450"/>
      <c r="AM23" s="2450"/>
      <c r="AN23" s="2450"/>
      <c r="AO23" s="2450"/>
      <c r="AP23" s="2450"/>
      <c r="AQ23" s="2450"/>
      <c r="AR23" s="2451"/>
    </row>
    <row r="24" spans="1:66" ht="18" customHeight="1">
      <c r="A24" s="739"/>
      <c r="B24" s="726"/>
      <c r="C24" s="726"/>
      <c r="D24" s="726"/>
      <c r="E24" s="726"/>
      <c r="F24" s="726"/>
      <c r="G24" s="726"/>
      <c r="H24" s="726"/>
      <c r="I24" s="726"/>
      <c r="J24" s="726"/>
      <c r="K24" s="726"/>
      <c r="L24" s="726"/>
      <c r="M24" s="726"/>
      <c r="N24" s="740"/>
      <c r="O24" s="726"/>
      <c r="P24" s="2521" t="s">
        <v>3539</v>
      </c>
      <c r="Q24" s="2522"/>
      <c r="R24" s="2522"/>
      <c r="S24" s="2522"/>
      <c r="T24" s="726"/>
      <c r="U24" s="2523"/>
      <c r="V24" s="2523"/>
      <c r="W24" s="2523"/>
      <c r="X24" s="726"/>
      <c r="Y24" s="2524"/>
      <c r="Z24" s="2513"/>
      <c r="AA24" s="2513"/>
      <c r="AB24" s="2525"/>
      <c r="AC24" s="2526"/>
      <c r="AD24" s="2526"/>
      <c r="AE24" s="2526"/>
      <c r="AF24" s="2526"/>
      <c r="AG24" s="2526"/>
      <c r="AH24" s="2526"/>
      <c r="AI24" s="2526"/>
      <c r="AJ24" s="2526"/>
      <c r="AK24" s="2526"/>
      <c r="AL24" s="2526"/>
      <c r="AM24" s="2526"/>
      <c r="AN24" s="2526"/>
      <c r="AO24" s="2526"/>
      <c r="AP24" s="2526"/>
      <c r="AQ24" s="2526"/>
      <c r="AR24" s="2527"/>
    </row>
    <row r="25" spans="1:66" ht="18" customHeight="1">
      <c r="A25" s="736"/>
      <c r="B25" s="2357" t="s">
        <v>3956</v>
      </c>
      <c r="C25" s="2347"/>
      <c r="D25" s="2347"/>
      <c r="E25" s="2347"/>
      <c r="F25" s="2347"/>
      <c r="G25" s="2347"/>
      <c r="H25" s="2347"/>
      <c r="I25" s="2347"/>
      <c r="J25" s="2347"/>
      <c r="K25" s="2347"/>
      <c r="L25" s="2347"/>
      <c r="M25" s="2347"/>
      <c r="N25" s="2347"/>
      <c r="O25" s="2347"/>
      <c r="P25" s="2347"/>
      <c r="Q25" s="2347"/>
      <c r="R25" s="2347"/>
      <c r="S25" s="2347"/>
      <c r="T25" s="2347"/>
      <c r="U25" s="2347"/>
      <c r="V25" s="2347"/>
      <c r="W25" s="2347"/>
      <c r="X25" s="2347"/>
      <c r="Y25" s="2347"/>
      <c r="Z25" s="2347"/>
      <c r="AA25" s="2347"/>
      <c r="AB25" s="727"/>
      <c r="AC25" s="726"/>
      <c r="AD25" s="2511" t="s">
        <v>3957</v>
      </c>
      <c r="AE25" s="2450"/>
      <c r="AF25" s="2450"/>
      <c r="AG25" s="2450"/>
      <c r="AH25" s="2450"/>
      <c r="AI25" s="2450"/>
      <c r="AJ25" s="2450"/>
      <c r="AK25" s="2450"/>
      <c r="AL25" s="2450"/>
      <c r="AM25" s="2450"/>
      <c r="AN25" s="2450"/>
      <c r="AO25" s="2450"/>
      <c r="AP25" s="2450"/>
      <c r="AQ25" s="2450"/>
      <c r="AR25" s="2451"/>
    </row>
    <row r="26" spans="1:66" ht="18" customHeight="1">
      <c r="A26" s="737"/>
      <c r="B26" s="738">
        <v>1</v>
      </c>
      <c r="C26" s="738">
        <v>2</v>
      </c>
      <c r="D26" s="738">
        <v>3</v>
      </c>
      <c r="E26" s="738">
        <v>4</v>
      </c>
      <c r="F26" s="738">
        <v>5</v>
      </c>
      <c r="G26" s="738">
        <v>6</v>
      </c>
      <c r="H26" s="738">
        <v>7</v>
      </c>
      <c r="I26" s="738">
        <v>8</v>
      </c>
      <c r="J26" s="738">
        <v>9</v>
      </c>
      <c r="K26" s="738">
        <v>10</v>
      </c>
      <c r="L26" s="738">
        <v>11</v>
      </c>
      <c r="M26" s="738">
        <v>12</v>
      </c>
      <c r="N26" s="2431" t="s">
        <v>239</v>
      </c>
      <c r="O26" s="2432"/>
      <c r="P26" s="741"/>
      <c r="Q26" s="741"/>
      <c r="R26" s="741"/>
      <c r="S26" s="741"/>
      <c r="T26" s="742" t="s">
        <v>234</v>
      </c>
      <c r="U26" s="742" t="s">
        <v>235</v>
      </c>
      <c r="V26" s="742" t="s">
        <v>219</v>
      </c>
      <c r="W26" s="742" t="s">
        <v>220</v>
      </c>
      <c r="X26" s="742" t="s">
        <v>221</v>
      </c>
      <c r="Y26" s="742" t="s">
        <v>222</v>
      </c>
      <c r="Z26" s="2433"/>
      <c r="AA26" s="2513"/>
      <c r="AB26" s="2525"/>
      <c r="AC26" s="2526"/>
      <c r="AD26" s="2526"/>
      <c r="AE26" s="2526"/>
      <c r="AF26" s="2526"/>
      <c r="AG26" s="2526"/>
      <c r="AH26" s="2526"/>
      <c r="AI26" s="2526"/>
      <c r="AJ26" s="2526"/>
      <c r="AK26" s="2526"/>
      <c r="AL26" s="2526"/>
      <c r="AM26" s="2526"/>
      <c r="AN26" s="2526"/>
      <c r="AO26" s="2526"/>
      <c r="AP26" s="2526"/>
      <c r="AQ26" s="2526"/>
      <c r="AR26" s="2527"/>
    </row>
    <row r="27" spans="1:66" ht="18" customHeight="1">
      <c r="A27" s="739"/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40"/>
      <c r="O27" s="726"/>
      <c r="P27" s="2521" t="s">
        <v>3539</v>
      </c>
      <c r="Q27" s="2522"/>
      <c r="R27" s="2522"/>
      <c r="S27" s="2522"/>
      <c r="T27" s="726"/>
      <c r="U27" s="726"/>
      <c r="V27" s="726"/>
      <c r="W27" s="726"/>
      <c r="X27" s="726"/>
      <c r="Y27" s="726"/>
      <c r="Z27" s="2513"/>
      <c r="AA27" s="2513"/>
      <c r="AB27" s="727"/>
      <c r="AC27" s="726"/>
      <c r="AD27" s="2511" t="s">
        <v>3958</v>
      </c>
      <c r="AE27" s="2450"/>
      <c r="AF27" s="2450"/>
      <c r="AG27" s="2450"/>
      <c r="AH27" s="2450"/>
      <c r="AI27" s="2450"/>
      <c r="AJ27" s="2450"/>
      <c r="AK27" s="2450"/>
      <c r="AL27" s="2450"/>
      <c r="AM27" s="2450"/>
      <c r="AN27" s="2450"/>
      <c r="AO27" s="2450"/>
      <c r="AP27" s="2450"/>
      <c r="AQ27" s="2450"/>
      <c r="AR27" s="2451"/>
    </row>
    <row r="28" spans="1:66" s="707" customFormat="1" ht="18" customHeight="1">
      <c r="A28" s="739"/>
      <c r="B28" s="2528" t="s">
        <v>3827</v>
      </c>
      <c r="C28" s="2529"/>
      <c r="D28" s="2529"/>
      <c r="E28" s="2529"/>
      <c r="F28" s="2529"/>
      <c r="G28" s="2529"/>
      <c r="H28" s="2412" t="s">
        <v>223</v>
      </c>
      <c r="I28" s="2364"/>
      <c r="J28" s="2364"/>
      <c r="K28" s="2364"/>
      <c r="L28" s="2364"/>
      <c r="M28" s="2364"/>
      <c r="N28" s="2364"/>
      <c r="O28" s="2364"/>
      <c r="P28" s="2364"/>
      <c r="Q28" s="2364"/>
      <c r="R28" s="2412" t="s">
        <v>224</v>
      </c>
      <c r="S28" s="2364"/>
      <c r="T28" s="2364"/>
      <c r="U28" s="2364"/>
      <c r="V28" s="2364"/>
      <c r="W28" s="2364"/>
      <c r="X28" s="2364"/>
      <c r="Y28" s="2364"/>
      <c r="Z28" s="2364"/>
      <c r="AA28" s="2364"/>
      <c r="AB28" s="2525"/>
      <c r="AC28" s="2526"/>
      <c r="AD28" s="2526"/>
      <c r="AE28" s="2526"/>
      <c r="AF28" s="2526"/>
      <c r="AG28" s="2526"/>
      <c r="AH28" s="2526"/>
      <c r="AI28" s="2526"/>
      <c r="AJ28" s="2526"/>
      <c r="AK28" s="2526"/>
      <c r="AL28" s="2526"/>
      <c r="AM28" s="2526"/>
      <c r="AN28" s="2526"/>
      <c r="AO28" s="2526"/>
      <c r="AP28" s="2526"/>
      <c r="AQ28" s="2526"/>
      <c r="AR28" s="25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</row>
    <row r="29" spans="1:66" s="707" customFormat="1" ht="18" customHeight="1">
      <c r="A29" s="739"/>
      <c r="B29" s="2529"/>
      <c r="C29" s="2529"/>
      <c r="D29" s="2529"/>
      <c r="E29" s="2529"/>
      <c r="F29" s="2529"/>
      <c r="G29" s="2529"/>
      <c r="H29" s="2508"/>
      <c r="I29" s="2509"/>
      <c r="J29" s="2509"/>
      <c r="K29" s="2509"/>
      <c r="L29" s="2509"/>
      <c r="M29" s="2509"/>
      <c r="N29" s="2509"/>
      <c r="O29" s="2509"/>
      <c r="P29" s="2510"/>
      <c r="Q29" s="725"/>
      <c r="R29" s="2508"/>
      <c r="S29" s="2509"/>
      <c r="T29" s="2509"/>
      <c r="U29" s="2509"/>
      <c r="V29" s="2509"/>
      <c r="W29" s="2509"/>
      <c r="X29" s="2509"/>
      <c r="Y29" s="2509"/>
      <c r="Z29" s="2510"/>
      <c r="AA29" s="708"/>
      <c r="AB29" s="727"/>
      <c r="AC29" s="726"/>
      <c r="AD29" s="2511" t="s">
        <v>3959</v>
      </c>
      <c r="AE29" s="2450"/>
      <c r="AF29" s="2450"/>
      <c r="AG29" s="2450"/>
      <c r="AH29" s="2450"/>
      <c r="AI29" s="2450"/>
      <c r="AJ29" s="2450"/>
      <c r="AK29" s="2450"/>
      <c r="AL29" s="2450"/>
      <c r="AM29" s="2450"/>
      <c r="AN29" s="2450"/>
      <c r="AO29" s="2450"/>
      <c r="AP29" s="2450"/>
      <c r="AQ29" s="2450"/>
      <c r="AR29" s="2451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</row>
    <row r="30" spans="1:66" s="707" customFormat="1" ht="6" customHeight="1">
      <c r="A30" s="2512"/>
      <c r="B30" s="2513"/>
      <c r="C30" s="2513"/>
      <c r="D30" s="2513"/>
      <c r="E30" s="2513"/>
      <c r="F30" s="2513"/>
      <c r="G30" s="2513"/>
      <c r="H30" s="2513"/>
      <c r="I30" s="2513"/>
      <c r="J30" s="2513"/>
      <c r="K30" s="2513"/>
      <c r="L30" s="2513"/>
      <c r="M30" s="2513"/>
      <c r="N30" s="2513"/>
      <c r="O30" s="2513"/>
      <c r="P30" s="2513"/>
      <c r="Q30" s="2513"/>
      <c r="R30" s="2513"/>
      <c r="S30" s="2513"/>
      <c r="T30" s="2513"/>
      <c r="U30" s="2513"/>
      <c r="V30" s="2513"/>
      <c r="W30" s="2513"/>
      <c r="X30" s="2513"/>
      <c r="Y30" s="2513"/>
      <c r="Z30" s="2513"/>
      <c r="AA30" s="2513"/>
      <c r="AB30" s="2514"/>
      <c r="AC30" s="2515"/>
      <c r="AD30" s="2515"/>
      <c r="AE30" s="2515"/>
      <c r="AF30" s="2515"/>
      <c r="AG30" s="2515"/>
      <c r="AH30" s="2515"/>
      <c r="AI30" s="2515"/>
      <c r="AJ30" s="2515"/>
      <c r="AK30" s="2515"/>
      <c r="AL30" s="2515"/>
      <c r="AM30" s="2515"/>
      <c r="AN30" s="2515"/>
      <c r="AO30" s="2515"/>
      <c r="AP30" s="2515"/>
      <c r="AQ30" s="2515"/>
      <c r="AR30" s="2516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</row>
    <row r="31" spans="1:66" ht="18" customHeight="1">
      <c r="A31" s="2404" t="s">
        <v>344</v>
      </c>
      <c r="B31" s="2405"/>
      <c r="C31" s="2405"/>
      <c r="D31" s="2405"/>
      <c r="E31" s="2405"/>
      <c r="F31" s="2405"/>
      <c r="G31" s="2405"/>
      <c r="H31" s="2405"/>
      <c r="I31" s="2405"/>
      <c r="J31" s="2405"/>
      <c r="K31" s="2405"/>
      <c r="L31" s="2405"/>
      <c r="M31" s="2405"/>
      <c r="N31" s="2405"/>
      <c r="O31" s="2405"/>
      <c r="P31" s="2405"/>
      <c r="Q31" s="2405"/>
      <c r="R31" s="2405"/>
      <c r="S31" s="2405"/>
      <c r="T31" s="2405"/>
      <c r="U31" s="2405"/>
      <c r="V31" s="2405"/>
      <c r="W31" s="2406" t="s">
        <v>3540</v>
      </c>
      <c r="X31" s="2406"/>
      <c r="Y31" s="2406"/>
      <c r="Z31" s="2406"/>
      <c r="AA31" s="2406"/>
      <c r="AB31" s="2406"/>
      <c r="AC31" s="2406"/>
      <c r="AD31" s="2406"/>
      <c r="AE31" s="2406"/>
      <c r="AF31" s="2406"/>
      <c r="AG31" s="2406"/>
      <c r="AH31" s="2406"/>
      <c r="AI31" s="2406"/>
      <c r="AJ31" s="2406"/>
      <c r="AK31" s="2406"/>
      <c r="AL31" s="2406"/>
      <c r="AM31" s="2405"/>
      <c r="AN31" s="2405"/>
      <c r="AO31" s="2405"/>
      <c r="AP31" s="2405"/>
      <c r="AQ31" s="2405"/>
      <c r="AR31" s="2407"/>
    </row>
    <row r="32" spans="1:66" ht="18" customHeight="1">
      <c r="A32" s="739"/>
      <c r="B32" s="2411"/>
      <c r="C32" s="2411"/>
      <c r="D32" s="2411"/>
      <c r="E32" s="2411"/>
      <c r="F32" s="2411"/>
      <c r="G32" s="2411"/>
      <c r="H32" s="2411"/>
      <c r="I32" s="2412" t="s">
        <v>3960</v>
      </c>
      <c r="J32" s="2412"/>
      <c r="K32" s="2412"/>
      <c r="L32" s="2412"/>
      <c r="M32" s="2412"/>
      <c r="N32" s="2412"/>
      <c r="O32" s="2412"/>
      <c r="P32" s="2412"/>
      <c r="Q32" s="2412"/>
      <c r="R32" s="2412"/>
      <c r="S32" s="2412"/>
      <c r="T32" s="2413"/>
      <c r="U32" s="2364"/>
      <c r="V32" s="2364"/>
      <c r="W32" s="2408" t="s">
        <v>3977</v>
      </c>
      <c r="X32" s="2409"/>
      <c r="Y32" s="2409"/>
      <c r="Z32" s="2409"/>
      <c r="AA32" s="2409"/>
      <c r="AB32" s="2409"/>
      <c r="AC32" s="2409"/>
      <c r="AD32" s="2409"/>
      <c r="AE32" s="2409"/>
      <c r="AF32" s="2409"/>
      <c r="AG32" s="2409"/>
      <c r="AH32" s="2409"/>
      <c r="AI32" s="2409"/>
      <c r="AJ32" s="2409"/>
      <c r="AK32" s="2409"/>
      <c r="AL32" s="2409"/>
      <c r="AM32" s="2409"/>
      <c r="AN32" s="2409"/>
      <c r="AO32" s="2409"/>
      <c r="AP32" s="2409"/>
      <c r="AQ32" s="2409"/>
      <c r="AR32" s="2410"/>
    </row>
    <row r="33" spans="1:55" ht="18" customHeight="1">
      <c r="A33" s="743"/>
      <c r="B33" s="2341" t="s">
        <v>3962</v>
      </c>
      <c r="C33" s="2342"/>
      <c r="D33" s="2342"/>
      <c r="E33" s="2342"/>
      <c r="F33" s="2342"/>
      <c r="G33" s="2342"/>
      <c r="H33" s="2342"/>
      <c r="I33" s="2414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3" s="2415"/>
      <c r="K33" s="2415"/>
      <c r="L33" s="2415"/>
      <c r="M33" s="2415"/>
      <c r="N33" s="2415"/>
      <c r="O33" s="2415"/>
      <c r="P33" s="2415"/>
      <c r="Q33" s="2415"/>
      <c r="R33" s="2415"/>
      <c r="S33" s="2416"/>
      <c r="T33" s="2346" t="s">
        <v>202</v>
      </c>
      <c r="U33" s="2347"/>
      <c r="V33" s="2347"/>
      <c r="W33" s="728"/>
      <c r="X33" s="2341" t="s">
        <v>350</v>
      </c>
      <c r="Y33" s="2347"/>
      <c r="Z33" s="2347"/>
      <c r="AA33" s="2347"/>
      <c r="AB33" s="2347"/>
      <c r="AC33" s="2347"/>
      <c r="AD33" s="2347"/>
      <c r="AE33" s="2396">
        <v>0</v>
      </c>
      <c r="AF33" s="2402"/>
      <c r="AG33" s="2402"/>
      <c r="AH33" s="2402"/>
      <c r="AI33" s="2402"/>
      <c r="AJ33" s="2402"/>
      <c r="AK33" s="2402"/>
      <c r="AL33" s="2402"/>
      <c r="AM33" s="2402"/>
      <c r="AN33" s="2403"/>
      <c r="AO33" s="2346" t="s">
        <v>202</v>
      </c>
      <c r="AP33" s="2347"/>
      <c r="AQ33" s="2347"/>
      <c r="AR33" s="2388"/>
    </row>
    <row r="34" spans="1:55" ht="18" customHeight="1">
      <c r="A34" s="743"/>
      <c r="B34" s="2370" t="s">
        <v>3963</v>
      </c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400" t="s">
        <v>3964</v>
      </c>
      <c r="X34" s="2393"/>
      <c r="Y34" s="2393"/>
      <c r="Z34" s="2393"/>
      <c r="AA34" s="2393"/>
      <c r="AB34" s="2393"/>
      <c r="AC34" s="2393"/>
      <c r="AD34" s="2393"/>
      <c r="AE34" s="2393"/>
      <c r="AF34" s="2393"/>
      <c r="AG34" s="2393"/>
      <c r="AH34" s="2393"/>
      <c r="AI34" s="2393"/>
      <c r="AJ34" s="2393"/>
      <c r="AK34" s="2393"/>
      <c r="AL34" s="2393"/>
      <c r="AM34" s="2393"/>
      <c r="AN34" s="2393"/>
      <c r="AO34" s="2393"/>
      <c r="AP34" s="2393"/>
      <c r="AQ34" s="2393"/>
      <c r="AR34" s="2401"/>
    </row>
    <row r="35" spans="1:55" ht="18" customHeight="1">
      <c r="A35" s="743"/>
      <c r="B35" s="2341" t="s">
        <v>345</v>
      </c>
      <c r="C35" s="2342"/>
      <c r="D35" s="2342"/>
      <c r="E35" s="2342"/>
      <c r="F35" s="2342"/>
      <c r="G35" s="2342"/>
      <c r="H35" s="2342"/>
      <c r="I35" s="2342"/>
      <c r="J35" s="2342"/>
      <c r="K35" s="2342"/>
      <c r="L35" s="2342"/>
      <c r="M35" s="2342"/>
      <c r="N35" s="2389">
        <f>+'1Př2'!G3</f>
        <v>12</v>
      </c>
      <c r="O35" s="2390"/>
      <c r="P35" s="2391"/>
      <c r="Q35" s="2023"/>
      <c r="R35" s="2023"/>
      <c r="S35" s="2023"/>
      <c r="T35" s="2023"/>
      <c r="U35" s="2023"/>
      <c r="V35" s="2023"/>
      <c r="W35" s="728"/>
      <c r="X35" s="2341" t="s">
        <v>187</v>
      </c>
      <c r="Y35" s="2342"/>
      <c r="Z35" s="2342"/>
      <c r="AA35" s="2342"/>
      <c r="AB35" s="2342"/>
      <c r="AC35" s="2342"/>
      <c r="AD35" s="2342"/>
      <c r="AE35" s="2380">
        <f>+AE33-I46</f>
        <v>0</v>
      </c>
      <c r="AF35" s="2381"/>
      <c r="AG35" s="2381"/>
      <c r="AH35" s="2381"/>
      <c r="AI35" s="2381"/>
      <c r="AJ35" s="2381"/>
      <c r="AK35" s="2381"/>
      <c r="AL35" s="2381"/>
      <c r="AM35" s="2381"/>
      <c r="AN35" s="2382"/>
      <c r="AO35" s="2346" t="s">
        <v>202</v>
      </c>
      <c r="AP35" s="2347"/>
      <c r="AQ35" s="2347"/>
      <c r="AR35" s="2388"/>
    </row>
    <row r="36" spans="1:55" ht="18" customHeight="1">
      <c r="A36" s="743"/>
      <c r="B36" s="2370" t="s">
        <v>3999</v>
      </c>
      <c r="C36" s="2399"/>
      <c r="D36" s="2399"/>
      <c r="E36" s="2399"/>
      <c r="F36" s="2399"/>
      <c r="G36" s="2399"/>
      <c r="H36" s="2399"/>
      <c r="I36" s="2399"/>
      <c r="J36" s="2399"/>
      <c r="K36" s="2399"/>
      <c r="L36" s="2399"/>
      <c r="M36" s="2399"/>
      <c r="N36" s="2399"/>
      <c r="O36" s="2399"/>
      <c r="P36" s="2399"/>
      <c r="Q36" s="2399"/>
      <c r="R36" s="2399"/>
      <c r="S36" s="2399"/>
      <c r="T36" s="2399"/>
      <c r="U36" s="2399"/>
      <c r="V36" s="2399"/>
      <c r="W36" s="2386"/>
      <c r="X36" s="2347"/>
      <c r="Y36" s="2347"/>
      <c r="Z36" s="2347"/>
      <c r="AA36" s="2347"/>
      <c r="AB36" s="2347"/>
      <c r="AC36" s="2347"/>
      <c r="AD36" s="2347"/>
      <c r="AE36" s="2347"/>
      <c r="AF36" s="2347"/>
      <c r="AG36" s="2347"/>
      <c r="AH36" s="2347"/>
      <c r="AI36" s="2347"/>
      <c r="AJ36" s="2347"/>
      <c r="AK36" s="2347"/>
      <c r="AL36" s="2347"/>
      <c r="AM36" s="2347"/>
      <c r="AN36" s="2347"/>
      <c r="AO36" s="2347"/>
      <c r="AP36" s="2347"/>
      <c r="AQ36" s="2347"/>
      <c r="AR36" s="2388"/>
    </row>
    <row r="37" spans="1:55" ht="18" customHeight="1">
      <c r="A37" s="744" t="s">
        <v>3828</v>
      </c>
      <c r="B37" s="2341" t="s">
        <v>3965</v>
      </c>
      <c r="C37" s="2342"/>
      <c r="D37" s="2342"/>
      <c r="E37" s="2342"/>
      <c r="F37" s="2342"/>
      <c r="G37" s="2342"/>
      <c r="H37" s="2342"/>
      <c r="I37" s="2342"/>
      <c r="J37" s="2342"/>
      <c r="K37" s="2342"/>
      <c r="L37" s="2342"/>
      <c r="M37" s="2342"/>
      <c r="N37" s="2389">
        <f>+N35</f>
        <v>12</v>
      </c>
      <c r="O37" s="2390"/>
      <c r="P37" s="2391"/>
      <c r="Q37" s="2023"/>
      <c r="R37" s="2023"/>
      <c r="S37" s="2023"/>
      <c r="T37" s="2023"/>
      <c r="U37" s="2023"/>
      <c r="V37" s="2023"/>
      <c r="W37" s="728"/>
      <c r="X37" s="2346" t="s">
        <v>351</v>
      </c>
      <c r="Y37" s="2346"/>
      <c r="Z37" s="2346"/>
      <c r="AA37" s="2346"/>
      <c r="AB37" s="2346"/>
      <c r="AC37" s="2346"/>
      <c r="AD37" s="2346"/>
      <c r="AE37" s="2346"/>
      <c r="AF37" s="2346"/>
      <c r="AG37" s="2346"/>
      <c r="AH37" s="2346"/>
      <c r="AI37" s="2346"/>
      <c r="AJ37" s="2346"/>
      <c r="AK37" s="2346"/>
      <c r="AL37" s="2346"/>
      <c r="AM37" s="2346"/>
      <c r="AN37" s="2346"/>
      <c r="AO37" s="2346"/>
      <c r="AP37" s="2346"/>
      <c r="AQ37" s="2346"/>
      <c r="AR37" s="2392"/>
    </row>
    <row r="38" spans="1:55" ht="18" customHeight="1">
      <c r="A38" s="743"/>
      <c r="B38" s="2393" t="s">
        <v>346</v>
      </c>
      <c r="C38" s="2394"/>
      <c r="D38" s="2394"/>
      <c r="E38" s="2394"/>
      <c r="F38" s="2394"/>
      <c r="G38" s="2394"/>
      <c r="H38" s="2394"/>
      <c r="I38" s="2394"/>
      <c r="J38" s="2394"/>
      <c r="K38" s="2394"/>
      <c r="L38" s="2394"/>
      <c r="M38" s="2394"/>
      <c r="N38" s="2394"/>
      <c r="O38" s="2394"/>
      <c r="P38" s="2394"/>
      <c r="Q38" s="2394"/>
      <c r="R38" s="2394"/>
      <c r="S38" s="2394"/>
      <c r="T38" s="2394"/>
      <c r="U38" s="2394"/>
      <c r="V38" s="2394"/>
      <c r="W38" s="729"/>
      <c r="X38" s="726" t="str">
        <f>+IF(AE35&lt;0,"X"," ")</f>
        <v xml:space="preserve"> </v>
      </c>
      <c r="Y38" s="2357" t="s">
        <v>3974</v>
      </c>
      <c r="Z38" s="2357"/>
      <c r="AA38" s="2357"/>
      <c r="AB38" s="2357"/>
      <c r="AC38" s="2357"/>
      <c r="AD38" s="2357"/>
      <c r="AE38" s="2357"/>
      <c r="AF38" s="2357"/>
      <c r="AG38" s="2357"/>
      <c r="AH38" s="2357"/>
      <c r="AI38" s="2357"/>
      <c r="AJ38" s="2357"/>
      <c r="AK38" s="2357"/>
      <c r="AL38" s="2357"/>
      <c r="AM38" s="2357"/>
      <c r="AN38" s="2357"/>
      <c r="AO38" s="2357"/>
      <c r="AP38" s="2357"/>
      <c r="AQ38" s="2357"/>
      <c r="AR38" s="2395"/>
      <c r="AT38" s="26"/>
      <c r="AU38" s="26"/>
      <c r="AV38" s="26"/>
      <c r="AW38" s="26"/>
      <c r="AX38" s="26"/>
      <c r="AY38" s="26"/>
      <c r="AZ38" s="26"/>
      <c r="BA38" s="26"/>
      <c r="BB38" s="26"/>
      <c r="BC38" s="26"/>
    </row>
    <row r="39" spans="1:55" ht="18" customHeight="1">
      <c r="A39" s="743"/>
      <c r="B39" s="2341" t="s">
        <v>347</v>
      </c>
      <c r="C39" s="2342"/>
      <c r="D39" s="2342"/>
      <c r="E39" s="2342"/>
      <c r="F39" s="2342"/>
      <c r="G39" s="2342"/>
      <c r="H39" s="2342"/>
      <c r="I39" s="2342"/>
      <c r="J39" s="2342"/>
      <c r="K39" s="2342"/>
      <c r="L39" s="2342"/>
      <c r="M39" s="2342"/>
      <c r="N39" s="2389">
        <v>0</v>
      </c>
      <c r="O39" s="2390"/>
      <c r="P39" s="2391"/>
      <c r="Q39" s="2023"/>
      <c r="R39" s="2023"/>
      <c r="S39" s="2023"/>
      <c r="T39" s="2023"/>
      <c r="U39" s="2023"/>
      <c r="V39" s="2023"/>
      <c r="W39" s="729"/>
      <c r="X39" s="726" t="str">
        <f>+IF(AE35&gt;0,"X"," ")</f>
        <v xml:space="preserve"> </v>
      </c>
      <c r="Y39" s="2357" t="s">
        <v>3642</v>
      </c>
      <c r="Z39" s="2347"/>
      <c r="AA39" s="2347"/>
      <c r="AB39" s="2347"/>
      <c r="AC39" s="2347"/>
      <c r="AD39" s="2347"/>
      <c r="AE39" s="2347"/>
      <c r="AF39" s="2347"/>
      <c r="AG39" s="2347"/>
      <c r="AH39" s="2396">
        <f>+MAX(0,AE35)</f>
        <v>0</v>
      </c>
      <c r="AI39" s="2397"/>
      <c r="AJ39" s="2397"/>
      <c r="AK39" s="2397"/>
      <c r="AL39" s="2397"/>
      <c r="AM39" s="2397"/>
      <c r="AN39" s="2397"/>
      <c r="AO39" s="2398"/>
      <c r="AP39" s="2346" t="s">
        <v>202</v>
      </c>
      <c r="AQ39" s="2347"/>
      <c r="AR39" s="2388"/>
      <c r="AT39" s="26"/>
      <c r="AU39" s="26"/>
      <c r="AV39" s="26"/>
      <c r="AW39" s="26"/>
      <c r="AX39" s="26"/>
      <c r="AY39" s="26"/>
      <c r="AZ39" s="26"/>
      <c r="BA39" s="26"/>
      <c r="BB39" s="26"/>
      <c r="BC39" s="26"/>
    </row>
    <row r="40" spans="1:55" ht="18" customHeight="1">
      <c r="A40" s="743"/>
      <c r="B40" s="2346"/>
      <c r="C40" s="2346"/>
      <c r="D40" s="2346"/>
      <c r="E40" s="2346"/>
      <c r="F40" s="2346"/>
      <c r="G40" s="2346"/>
      <c r="H40" s="2346"/>
      <c r="I40" s="2383" t="s">
        <v>3966</v>
      </c>
      <c r="J40" s="2383"/>
      <c r="K40" s="2383"/>
      <c r="L40" s="2383"/>
      <c r="M40" s="2383"/>
      <c r="N40" s="2383"/>
      <c r="O40" s="2383"/>
      <c r="P40" s="2383"/>
      <c r="Q40" s="2383"/>
      <c r="R40" s="2383"/>
      <c r="S40" s="2383"/>
      <c r="T40" s="2358"/>
      <c r="U40" s="2347"/>
      <c r="V40" s="2347"/>
      <c r="W40" s="2386"/>
      <c r="X40" s="2347"/>
      <c r="Y40" s="2387" t="s">
        <v>3967</v>
      </c>
      <c r="Z40" s="2347"/>
      <c r="AA40" s="2347"/>
      <c r="AB40" s="2347"/>
      <c r="AC40" s="2347"/>
      <c r="AD40" s="726" t="str">
        <f>+X39</f>
        <v xml:space="preserve"> </v>
      </c>
      <c r="AE40" s="2387" t="s">
        <v>3968</v>
      </c>
      <c r="AF40" s="2347"/>
      <c r="AG40" s="2347"/>
      <c r="AH40" s="2347"/>
      <c r="AI40" s="2347"/>
      <c r="AJ40" s="2347"/>
      <c r="AK40" s="2347"/>
      <c r="AL40" s="2347"/>
      <c r="AM40" s="2347"/>
      <c r="AN40" s="2347"/>
      <c r="AO40" s="2347"/>
      <c r="AP40" s="2347"/>
      <c r="AQ40" s="2347"/>
      <c r="AR40" s="2388"/>
      <c r="AT40" s="26"/>
      <c r="AU40" s="26"/>
      <c r="AV40" s="26"/>
      <c r="AW40" s="26"/>
      <c r="AX40" s="26"/>
      <c r="AY40" s="26"/>
      <c r="AZ40" s="26"/>
      <c r="BA40" s="26"/>
      <c r="BB40" s="26"/>
      <c r="BC40" s="26"/>
    </row>
    <row r="41" spans="1:55" ht="18" customHeight="1">
      <c r="A41" s="743"/>
      <c r="B41" s="2341" t="s">
        <v>348</v>
      </c>
      <c r="C41" s="2347"/>
      <c r="D41" s="2347"/>
      <c r="E41" s="2347"/>
      <c r="F41" s="2347"/>
      <c r="G41" s="2347"/>
      <c r="H41" s="2347"/>
      <c r="I41" s="2343">
        <f>+N39*17720.5</f>
        <v>0</v>
      </c>
      <c r="J41" s="2384"/>
      <c r="K41" s="2384"/>
      <c r="L41" s="2384"/>
      <c r="M41" s="2384"/>
      <c r="N41" s="2384"/>
      <c r="O41" s="2384"/>
      <c r="P41" s="2384"/>
      <c r="Q41" s="2384"/>
      <c r="R41" s="2384"/>
      <c r="S41" s="2385"/>
      <c r="T41" s="2346" t="s">
        <v>202</v>
      </c>
      <c r="U41" s="2347"/>
      <c r="V41" s="2347"/>
      <c r="W41" s="2386"/>
      <c r="X41" s="2347"/>
      <c r="Y41" s="2347"/>
      <c r="Z41" s="2347"/>
      <c r="AA41" s="2347"/>
      <c r="AB41" s="2347"/>
      <c r="AC41" s="2347"/>
      <c r="AD41" s="726"/>
      <c r="AE41" s="2387" t="s">
        <v>3969</v>
      </c>
      <c r="AF41" s="2347"/>
      <c r="AG41" s="2347"/>
      <c r="AH41" s="2347"/>
      <c r="AI41" s="2347"/>
      <c r="AJ41" s="2347"/>
      <c r="AK41" s="2347"/>
      <c r="AL41" s="2347"/>
      <c r="AM41" s="2347"/>
      <c r="AN41" s="2347"/>
      <c r="AO41" s="2347"/>
      <c r="AP41" s="2347"/>
      <c r="AQ41" s="2347"/>
      <c r="AR41" s="2388"/>
      <c r="AT41" s="26"/>
      <c r="AU41" s="26"/>
      <c r="AV41" s="26"/>
      <c r="AW41" s="26"/>
      <c r="AX41" s="26"/>
      <c r="AY41" s="26"/>
      <c r="AZ41" s="26"/>
      <c r="BA41" s="26"/>
      <c r="BB41" s="26"/>
      <c r="BC41" s="26"/>
    </row>
    <row r="42" spans="1:55" ht="18" customHeight="1">
      <c r="A42" s="2368" t="s">
        <v>3970</v>
      </c>
      <c r="B42" s="2347"/>
      <c r="C42" s="2347"/>
      <c r="D42" s="2347"/>
      <c r="E42" s="2347"/>
      <c r="F42" s="2347"/>
      <c r="G42" s="2347"/>
      <c r="H42" s="2347"/>
      <c r="I42" s="2347"/>
      <c r="J42" s="2347"/>
      <c r="K42" s="2347"/>
      <c r="L42" s="2347"/>
      <c r="M42" s="2347"/>
      <c r="N42" s="2347"/>
      <c r="O42" s="2347"/>
      <c r="P42" s="2347"/>
      <c r="Q42" s="2347"/>
      <c r="R42" s="2347"/>
      <c r="S42" s="2347"/>
      <c r="T42" s="2347"/>
      <c r="U42" s="2347"/>
      <c r="V42" s="2347"/>
      <c r="W42" s="2372" t="s">
        <v>3541</v>
      </c>
      <c r="X42" s="2373"/>
      <c r="Y42" s="2373"/>
      <c r="Z42" s="2373"/>
      <c r="AA42" s="2373"/>
      <c r="AB42" s="2373"/>
      <c r="AC42" s="2373"/>
      <c r="AD42" s="2374"/>
      <c r="AE42" s="2373"/>
      <c r="AF42" s="2373"/>
      <c r="AG42" s="2373"/>
      <c r="AH42" s="2373"/>
      <c r="AI42" s="2373"/>
      <c r="AJ42" s="2373"/>
      <c r="AK42" s="2373"/>
      <c r="AL42" s="2373"/>
      <c r="AM42" s="2375"/>
      <c r="AN42" s="2375"/>
      <c r="AO42" s="2375"/>
      <c r="AP42" s="2375"/>
      <c r="AQ42" s="2375"/>
      <c r="AR42" s="2376"/>
      <c r="AT42" s="26"/>
      <c r="AU42" s="26"/>
      <c r="AV42" s="26"/>
      <c r="AW42" s="26"/>
      <c r="AX42" s="26"/>
      <c r="AY42" s="26"/>
      <c r="AZ42" s="26"/>
      <c r="BA42" s="26"/>
      <c r="BB42" s="26"/>
      <c r="BC42" s="26"/>
    </row>
    <row r="43" spans="1:55" ht="18" customHeight="1">
      <c r="A43" s="743"/>
      <c r="B43" s="2341" t="s">
        <v>122</v>
      </c>
      <c r="C43" s="2342"/>
      <c r="D43" s="2342"/>
      <c r="E43" s="2342"/>
      <c r="F43" s="2342"/>
      <c r="G43" s="2342"/>
      <c r="H43" s="2342"/>
      <c r="I43" s="2343">
        <f>+MAX(I41,+I33*0.5)</f>
        <v>0</v>
      </c>
      <c r="J43" s="2344"/>
      <c r="K43" s="2344"/>
      <c r="L43" s="2344"/>
      <c r="M43" s="2344"/>
      <c r="N43" s="2344"/>
      <c r="O43" s="2344"/>
      <c r="P43" s="2344"/>
      <c r="Q43" s="2344"/>
      <c r="R43" s="2344"/>
      <c r="S43" s="2345"/>
      <c r="T43" s="2346" t="s">
        <v>202</v>
      </c>
      <c r="U43" s="2347"/>
      <c r="V43" s="2347"/>
      <c r="W43" s="2369" t="s">
        <v>3971</v>
      </c>
      <c r="X43" s="2370"/>
      <c r="Y43" s="2370"/>
      <c r="Z43" s="2370"/>
      <c r="AA43" s="2370"/>
      <c r="AB43" s="2370"/>
      <c r="AC43" s="2370"/>
      <c r="AD43" s="2370"/>
      <c r="AE43" s="2370"/>
      <c r="AF43" s="2370"/>
      <c r="AG43" s="2370"/>
      <c r="AH43" s="2370"/>
      <c r="AI43" s="2370"/>
      <c r="AJ43" s="2370"/>
      <c r="AK43" s="2370"/>
      <c r="AL43" s="2370"/>
      <c r="AM43" s="2370"/>
      <c r="AN43" s="2370"/>
      <c r="AO43" s="2370"/>
      <c r="AP43" s="2370"/>
      <c r="AQ43" s="2370"/>
      <c r="AR43" s="2371"/>
      <c r="AT43" s="26"/>
      <c r="AU43" s="26"/>
      <c r="AV43" s="26"/>
      <c r="AW43" s="26"/>
      <c r="AX43" s="26"/>
      <c r="AY43" s="26"/>
      <c r="AZ43" s="26"/>
      <c r="BA43" s="26"/>
      <c r="BB43" s="26"/>
      <c r="BC43" s="26"/>
    </row>
    <row r="44" spans="1:55" ht="18" customHeight="1">
      <c r="A44" s="2377"/>
      <c r="B44" s="2023"/>
      <c r="C44" s="2023"/>
      <c r="D44" s="2023"/>
      <c r="E44" s="2023"/>
      <c r="F44" s="2023"/>
      <c r="G44" s="2023"/>
      <c r="H44" s="2023"/>
      <c r="I44" s="2023"/>
      <c r="J44" s="2023"/>
      <c r="K44" s="2023"/>
      <c r="L44" s="2023"/>
      <c r="M44" s="2023"/>
      <c r="N44" s="2023"/>
      <c r="O44" s="2023"/>
      <c r="P44" s="2023"/>
      <c r="Q44" s="2023"/>
      <c r="R44" s="2023"/>
      <c r="S44" s="2023"/>
      <c r="T44" s="2023"/>
      <c r="U44" s="2023"/>
      <c r="V44" s="2023"/>
      <c r="W44" s="728"/>
      <c r="X44" s="2341" t="s">
        <v>352</v>
      </c>
      <c r="Y44" s="2378"/>
      <c r="Z44" s="2378"/>
      <c r="AA44" s="2378"/>
      <c r="AB44" s="2378"/>
      <c r="AC44" s="2378"/>
      <c r="AD44" s="2379"/>
      <c r="AE44" s="2378"/>
      <c r="AF44" s="2378"/>
      <c r="AG44" s="2380">
        <f>+CEILING(0.135*0.5*MAX(0,I33)/N35,1)</f>
        <v>0</v>
      </c>
      <c r="AH44" s="2381"/>
      <c r="AI44" s="2381"/>
      <c r="AJ44" s="2381"/>
      <c r="AK44" s="2381"/>
      <c r="AL44" s="2381"/>
      <c r="AM44" s="2381"/>
      <c r="AN44" s="2382"/>
      <c r="AO44" s="2346" t="s">
        <v>202</v>
      </c>
      <c r="AP44" s="2358"/>
      <c r="AQ44" s="2358"/>
      <c r="AR44" s="2362"/>
      <c r="AT44" s="26"/>
      <c r="AU44" s="26"/>
      <c r="AV44" s="26"/>
      <c r="AW44" s="26"/>
      <c r="AX44" s="26"/>
      <c r="AY44" s="26"/>
      <c r="AZ44" s="26"/>
      <c r="BA44" s="26"/>
      <c r="BB44" s="26"/>
      <c r="BC44" s="26"/>
    </row>
    <row r="45" spans="1:55" ht="18" customHeight="1">
      <c r="A45" s="750"/>
      <c r="B45" s="2338" t="s">
        <v>3972</v>
      </c>
      <c r="C45" s="2339"/>
      <c r="D45" s="2339"/>
      <c r="E45" s="2339"/>
      <c r="F45" s="2339"/>
      <c r="G45" s="2339"/>
      <c r="H45" s="2339"/>
      <c r="I45" s="2339"/>
      <c r="J45" s="2339"/>
      <c r="K45" s="2339"/>
      <c r="L45" s="2339"/>
      <c r="M45" s="2339"/>
      <c r="N45" s="2339"/>
      <c r="O45" s="2339"/>
      <c r="P45" s="2339"/>
      <c r="Q45" s="2339"/>
      <c r="R45" s="2339"/>
      <c r="S45" s="2339"/>
      <c r="T45" s="2339"/>
      <c r="U45" s="2339"/>
      <c r="V45" s="2340"/>
      <c r="W45" s="730" t="s">
        <v>3830</v>
      </c>
      <c r="X45" s="731"/>
      <c r="Y45" s="731"/>
      <c r="Z45" s="731"/>
      <c r="AA45" s="731"/>
      <c r="AB45" s="731"/>
      <c r="AC45" s="731"/>
      <c r="AD45" s="731"/>
      <c r="AE45" s="731"/>
      <c r="AF45" s="731"/>
      <c r="AG45" s="731"/>
      <c r="AH45" s="731"/>
      <c r="AI45" s="731"/>
      <c r="AJ45" s="731"/>
      <c r="AK45" s="731"/>
      <c r="AL45" s="731"/>
      <c r="AM45" s="731"/>
      <c r="AN45" s="731"/>
      <c r="AO45" s="731"/>
      <c r="AP45" s="731"/>
      <c r="AQ45" s="731"/>
      <c r="AR45" s="745"/>
      <c r="AT45" s="26"/>
      <c r="AU45" s="26"/>
      <c r="AV45" s="26"/>
      <c r="AW45" s="26"/>
      <c r="AX45" s="26"/>
      <c r="AY45" s="26"/>
      <c r="AZ45" s="26"/>
      <c r="BA45" s="26"/>
      <c r="BB45" s="26"/>
      <c r="BC45" s="26"/>
    </row>
    <row r="46" spans="1:55" ht="18" customHeight="1">
      <c r="A46" s="737"/>
      <c r="B46" s="2341" t="s">
        <v>349</v>
      </c>
      <c r="C46" s="2342"/>
      <c r="D46" s="2342"/>
      <c r="E46" s="2342"/>
      <c r="F46" s="2342"/>
      <c r="G46" s="2342"/>
      <c r="H46" s="2342"/>
      <c r="I46" s="2343">
        <f>+CEILING(0.135*(I43*N37)/N35,1)</f>
        <v>0</v>
      </c>
      <c r="J46" s="2344"/>
      <c r="K46" s="2344"/>
      <c r="L46" s="2344"/>
      <c r="M46" s="2344"/>
      <c r="N46" s="2344"/>
      <c r="O46" s="2344"/>
      <c r="P46" s="2344"/>
      <c r="Q46" s="2344"/>
      <c r="R46" s="2344"/>
      <c r="S46" s="2345"/>
      <c r="T46" s="2346" t="s">
        <v>202</v>
      </c>
      <c r="U46" s="2347"/>
      <c r="V46" s="2347"/>
      <c r="W46" s="729"/>
      <c r="X46" s="726"/>
      <c r="Y46" s="2357" t="s">
        <v>3973</v>
      </c>
      <c r="Z46" s="2358"/>
      <c r="AA46" s="2358"/>
      <c r="AB46" s="726" t="s">
        <v>258</v>
      </c>
      <c r="AC46" s="2357" t="s">
        <v>3542</v>
      </c>
      <c r="AD46" s="2358"/>
      <c r="AE46" s="2358"/>
      <c r="AF46" s="726"/>
      <c r="AG46" s="2357" t="s">
        <v>353</v>
      </c>
      <c r="AH46" s="2358"/>
      <c r="AI46" s="2358"/>
      <c r="AJ46" s="2359">
        <f>+IF(OR(EXACT(X46,"X"),EXACT(X46,"x")),MAX(AG44,2627),IF(OR(EXACT(AF46,"X"),EXACT(AF46,"x")),0,+AG44))</f>
        <v>0</v>
      </c>
      <c r="AK46" s="2360"/>
      <c r="AL46" s="2360"/>
      <c r="AM46" s="2360"/>
      <c r="AN46" s="2361"/>
      <c r="AO46" s="2346" t="s">
        <v>202</v>
      </c>
      <c r="AP46" s="2358"/>
      <c r="AQ46" s="2358"/>
      <c r="AR46" s="2362"/>
      <c r="AT46" s="26"/>
      <c r="AU46" s="26"/>
      <c r="AV46" s="26"/>
      <c r="AW46" s="26"/>
      <c r="AX46" s="26"/>
      <c r="AY46" s="26"/>
      <c r="AZ46" s="26"/>
      <c r="BA46" s="26"/>
      <c r="BB46" s="26"/>
      <c r="BC46" s="26"/>
    </row>
    <row r="47" spans="1:55" ht="6" customHeight="1">
      <c r="A47" s="2363"/>
      <c r="B47" s="2364"/>
      <c r="C47" s="2364"/>
      <c r="D47" s="2364"/>
      <c r="E47" s="2364"/>
      <c r="F47" s="2364"/>
      <c r="G47" s="2364"/>
      <c r="H47" s="2364"/>
      <c r="I47" s="2364"/>
      <c r="J47" s="2364"/>
      <c r="K47" s="2364"/>
      <c r="L47" s="2364"/>
      <c r="M47" s="2364"/>
      <c r="N47" s="2364"/>
      <c r="O47" s="2364"/>
      <c r="P47" s="2364"/>
      <c r="Q47" s="2364"/>
      <c r="R47" s="2364"/>
      <c r="S47" s="2364"/>
      <c r="T47" s="2364"/>
      <c r="U47" s="2364"/>
      <c r="V47" s="2364"/>
      <c r="W47" s="2365"/>
      <c r="X47" s="2366"/>
      <c r="Y47" s="2366"/>
      <c r="Z47" s="2366"/>
      <c r="AA47" s="2366"/>
      <c r="AB47" s="2366"/>
      <c r="AC47" s="2366"/>
      <c r="AD47" s="2366"/>
      <c r="AE47" s="2366"/>
      <c r="AF47" s="2366"/>
      <c r="AG47" s="2366"/>
      <c r="AH47" s="2366"/>
      <c r="AI47" s="2366"/>
      <c r="AJ47" s="2366"/>
      <c r="AK47" s="2366"/>
      <c r="AL47" s="2366"/>
      <c r="AM47" s="2366"/>
      <c r="AN47" s="2366"/>
      <c r="AO47" s="2366"/>
      <c r="AP47" s="2366"/>
      <c r="AQ47" s="2366"/>
      <c r="AR47" s="2367"/>
      <c r="AT47" s="26"/>
      <c r="AU47" s="26"/>
      <c r="AV47" s="26"/>
      <c r="AW47" s="26"/>
      <c r="AX47" s="26"/>
      <c r="AY47" s="26"/>
      <c r="AZ47" s="26"/>
      <c r="BA47" s="26"/>
      <c r="BB47" s="26"/>
      <c r="BC47" s="26"/>
    </row>
    <row r="48" spans="1:55" ht="18" customHeight="1">
      <c r="A48" s="2318" t="s">
        <v>3543</v>
      </c>
      <c r="B48" s="2319"/>
      <c r="C48" s="2319"/>
      <c r="D48" s="2319"/>
      <c r="E48" s="2319"/>
      <c r="F48" s="2319"/>
      <c r="G48" s="2319"/>
      <c r="H48" s="2319"/>
      <c r="I48" s="2319"/>
      <c r="J48" s="2319"/>
      <c r="K48" s="2319"/>
      <c r="L48" s="2319"/>
      <c r="M48" s="2319"/>
      <c r="N48" s="2319"/>
      <c r="O48" s="2319"/>
      <c r="P48" s="2319"/>
      <c r="Q48" s="2319"/>
      <c r="R48" s="2319"/>
      <c r="S48" s="2319"/>
      <c r="T48" s="2319"/>
      <c r="U48" s="2319"/>
      <c r="V48" s="2319"/>
      <c r="W48" s="2320"/>
      <c r="X48" s="2320"/>
      <c r="Y48" s="2320"/>
      <c r="Z48" s="2320"/>
      <c r="AA48" s="2320"/>
      <c r="AB48" s="2320"/>
      <c r="AC48" s="2320"/>
      <c r="AD48" s="2320"/>
      <c r="AE48" s="2320"/>
      <c r="AF48" s="2320"/>
      <c r="AG48" s="2320"/>
      <c r="AH48" s="2320"/>
      <c r="AI48" s="2320"/>
      <c r="AJ48" s="2320"/>
      <c r="AK48" s="2320"/>
      <c r="AL48" s="2320"/>
      <c r="AM48" s="2320"/>
      <c r="AN48" s="2320"/>
      <c r="AO48" s="2320"/>
      <c r="AP48" s="2320"/>
      <c r="AQ48" s="2320"/>
      <c r="AR48" s="2321"/>
    </row>
    <row r="49" spans="1:44" ht="18" customHeight="1">
      <c r="A49" s="2322" t="s">
        <v>3833</v>
      </c>
      <c r="B49" s="2323"/>
      <c r="C49" s="2323"/>
      <c r="D49" s="2323"/>
      <c r="E49" s="2323"/>
      <c r="F49" s="2323"/>
      <c r="G49" s="2323"/>
      <c r="H49" s="2323"/>
      <c r="I49" s="2323"/>
      <c r="J49" s="2323"/>
      <c r="K49" s="2323"/>
      <c r="L49" s="2323"/>
      <c r="M49" s="2323"/>
      <c r="N49" s="2323"/>
      <c r="O49" s="2323"/>
      <c r="P49" s="2323"/>
      <c r="Q49" s="2323"/>
      <c r="R49" s="2323"/>
      <c r="S49" s="2323"/>
      <c r="T49" s="2323"/>
      <c r="U49" s="2323"/>
      <c r="V49" s="2323"/>
      <c r="W49" s="2323"/>
      <c r="X49" s="2323"/>
      <c r="Y49" s="2323"/>
      <c r="Z49" s="2323"/>
      <c r="AA49" s="746"/>
      <c r="AB49" s="746"/>
      <c r="AC49" s="746"/>
      <c r="AD49" s="746"/>
      <c r="AE49" s="746"/>
      <c r="AF49" s="746"/>
      <c r="AG49" s="746"/>
      <c r="AH49" s="746"/>
      <c r="AI49" s="746"/>
      <c r="AJ49" s="746"/>
      <c r="AK49" s="746"/>
      <c r="AL49" s="746"/>
      <c r="AM49" s="746"/>
      <c r="AN49" s="746"/>
      <c r="AO49" s="746"/>
      <c r="AP49" s="746"/>
      <c r="AQ49" s="746"/>
      <c r="AR49" s="718"/>
    </row>
    <row r="50" spans="1:44" ht="18" customHeight="1">
      <c r="A50" s="2324"/>
      <c r="B50" s="2323"/>
      <c r="C50" s="2323"/>
      <c r="D50" s="2323"/>
      <c r="E50" s="2323"/>
      <c r="F50" s="2323"/>
      <c r="G50" s="2323"/>
      <c r="H50" s="2323"/>
      <c r="I50" s="2323"/>
      <c r="J50" s="2323"/>
      <c r="K50" s="2323"/>
      <c r="L50" s="2323"/>
      <c r="M50" s="2323"/>
      <c r="N50" s="2323"/>
      <c r="O50" s="2323"/>
      <c r="P50" s="2323"/>
      <c r="Q50" s="2323"/>
      <c r="R50" s="2323"/>
      <c r="S50" s="2323"/>
      <c r="T50" s="2323"/>
      <c r="U50" s="2323"/>
      <c r="V50" s="2323"/>
      <c r="W50" s="2323"/>
      <c r="X50" s="2323"/>
      <c r="Y50" s="2323"/>
      <c r="Z50" s="2323"/>
      <c r="AA50" s="746"/>
      <c r="AB50" s="2325" t="s">
        <v>354</v>
      </c>
      <c r="AC50" s="2326"/>
      <c r="AD50" s="2326"/>
      <c r="AE50" s="2326"/>
      <c r="AF50" s="2326"/>
      <c r="AG50" s="2326"/>
      <c r="AH50" s="2326"/>
      <c r="AI50" s="2326"/>
      <c r="AJ50" s="2326"/>
      <c r="AK50" s="2326"/>
      <c r="AL50" s="2326"/>
      <c r="AM50" s="2326"/>
      <c r="AN50" s="2327"/>
      <c r="AO50" s="2334"/>
      <c r="AP50" s="2335"/>
      <c r="AQ50" s="2335"/>
      <c r="AR50" s="2336"/>
    </row>
    <row r="51" spans="1:44" ht="18" customHeight="1">
      <c r="A51" s="2324"/>
      <c r="B51" s="2323"/>
      <c r="C51" s="2323"/>
      <c r="D51" s="2323"/>
      <c r="E51" s="2323"/>
      <c r="F51" s="2323"/>
      <c r="G51" s="2323"/>
      <c r="H51" s="2323"/>
      <c r="I51" s="2323"/>
      <c r="J51" s="2323"/>
      <c r="K51" s="2323"/>
      <c r="L51" s="2323"/>
      <c r="M51" s="2323"/>
      <c r="N51" s="2323"/>
      <c r="O51" s="2323"/>
      <c r="P51" s="2323"/>
      <c r="Q51" s="2323"/>
      <c r="R51" s="2323"/>
      <c r="S51" s="2323"/>
      <c r="T51" s="2323"/>
      <c r="U51" s="2323"/>
      <c r="V51" s="2323"/>
      <c r="W51" s="2323"/>
      <c r="X51" s="2323"/>
      <c r="Y51" s="2323"/>
      <c r="Z51" s="2323"/>
      <c r="AA51" s="746"/>
      <c r="AB51" s="2328"/>
      <c r="AC51" s="2329"/>
      <c r="AD51" s="2329"/>
      <c r="AE51" s="2329"/>
      <c r="AF51" s="2329"/>
      <c r="AG51" s="2329"/>
      <c r="AH51" s="2329"/>
      <c r="AI51" s="2329"/>
      <c r="AJ51" s="2329"/>
      <c r="AK51" s="2329"/>
      <c r="AL51" s="2329"/>
      <c r="AM51" s="2329"/>
      <c r="AN51" s="2330"/>
      <c r="AO51" s="2334"/>
      <c r="AP51" s="2335"/>
      <c r="AQ51" s="2335"/>
      <c r="AR51" s="2336"/>
    </row>
    <row r="52" spans="1:44" ht="18" customHeight="1">
      <c r="A52" s="2324"/>
      <c r="B52" s="2323"/>
      <c r="C52" s="2323"/>
      <c r="D52" s="2323"/>
      <c r="E52" s="2323"/>
      <c r="F52" s="2323"/>
      <c r="G52" s="2323"/>
      <c r="H52" s="2323"/>
      <c r="I52" s="2323"/>
      <c r="J52" s="2323"/>
      <c r="K52" s="2323"/>
      <c r="L52" s="2323"/>
      <c r="M52" s="2323"/>
      <c r="N52" s="2323"/>
      <c r="O52" s="2323"/>
      <c r="P52" s="2323"/>
      <c r="Q52" s="2323"/>
      <c r="R52" s="2323"/>
      <c r="S52" s="2323"/>
      <c r="T52" s="2323"/>
      <c r="U52" s="2323"/>
      <c r="V52" s="2323"/>
      <c r="W52" s="2323"/>
      <c r="X52" s="2323"/>
      <c r="Y52" s="2323"/>
      <c r="Z52" s="2323"/>
      <c r="AA52" s="746"/>
      <c r="AB52" s="2328"/>
      <c r="AC52" s="2329"/>
      <c r="AD52" s="2329"/>
      <c r="AE52" s="2329"/>
      <c r="AF52" s="2329"/>
      <c r="AG52" s="2329"/>
      <c r="AH52" s="2329"/>
      <c r="AI52" s="2329"/>
      <c r="AJ52" s="2329"/>
      <c r="AK52" s="2329"/>
      <c r="AL52" s="2329"/>
      <c r="AM52" s="2329"/>
      <c r="AN52" s="2330"/>
      <c r="AO52" s="2334"/>
      <c r="AP52" s="2335"/>
      <c r="AQ52" s="2335"/>
      <c r="AR52" s="2336"/>
    </row>
    <row r="53" spans="1:44">
      <c r="A53" s="724"/>
      <c r="B53" s="2337" t="s">
        <v>3975</v>
      </c>
      <c r="C53" s="2337"/>
      <c r="D53" s="2337"/>
      <c r="E53" s="2337"/>
      <c r="F53" s="2337"/>
      <c r="G53" s="2337"/>
      <c r="H53" s="2337"/>
      <c r="I53" s="2337"/>
      <c r="J53" s="2337"/>
      <c r="K53" s="2337"/>
      <c r="L53" s="2337"/>
      <c r="M53" s="2337"/>
      <c r="N53" s="2337"/>
      <c r="O53" s="2337"/>
      <c r="P53" s="2337"/>
      <c r="Q53" s="747" t="s">
        <v>355</v>
      </c>
      <c r="R53" s="747"/>
      <c r="S53" s="747"/>
      <c r="T53" s="747"/>
      <c r="U53" s="747"/>
      <c r="V53" s="747"/>
      <c r="W53" s="747"/>
      <c r="X53" s="747"/>
      <c r="Y53" s="747"/>
      <c r="Z53" s="747"/>
      <c r="AA53" s="627"/>
      <c r="AB53" s="2328"/>
      <c r="AC53" s="2329"/>
      <c r="AD53" s="2329"/>
      <c r="AE53" s="2329"/>
      <c r="AF53" s="2329"/>
      <c r="AG53" s="2329"/>
      <c r="AH53" s="2329"/>
      <c r="AI53" s="2329"/>
      <c r="AJ53" s="2329"/>
      <c r="AK53" s="2329"/>
      <c r="AL53" s="2329"/>
      <c r="AM53" s="2329"/>
      <c r="AN53" s="2330"/>
      <c r="AO53" s="2334"/>
      <c r="AP53" s="2335"/>
      <c r="AQ53" s="2335"/>
      <c r="AR53" s="2336"/>
    </row>
    <row r="54" spans="1:44" ht="15" customHeight="1">
      <c r="A54" s="724"/>
      <c r="B54" s="748"/>
      <c r="C54" s="2335"/>
      <c r="D54" s="2335"/>
      <c r="E54" s="2335"/>
      <c r="F54" s="2335"/>
      <c r="G54" s="2335"/>
      <c r="H54" s="2335"/>
      <c r="I54" s="2335"/>
      <c r="J54" s="2335"/>
      <c r="K54" s="2335"/>
      <c r="L54" s="2335"/>
      <c r="M54" s="2335"/>
      <c r="N54" s="2335"/>
      <c r="O54" s="2335"/>
      <c r="P54" s="2335"/>
      <c r="Q54" s="2348">
        <f ca="1">+TODAY()</f>
        <v>44720</v>
      </c>
      <c r="R54" s="2349"/>
      <c r="S54" s="2349"/>
      <c r="T54" s="2349"/>
      <c r="U54" s="2349"/>
      <c r="V54" s="2349"/>
      <c r="W54" s="2349"/>
      <c r="X54" s="2349"/>
      <c r="Y54" s="2350"/>
      <c r="Z54" s="746"/>
      <c r="AA54" s="746"/>
      <c r="AB54" s="2328"/>
      <c r="AC54" s="2329"/>
      <c r="AD54" s="2329"/>
      <c r="AE54" s="2329"/>
      <c r="AF54" s="2329"/>
      <c r="AG54" s="2329"/>
      <c r="AH54" s="2329"/>
      <c r="AI54" s="2329"/>
      <c r="AJ54" s="2329"/>
      <c r="AK54" s="2329"/>
      <c r="AL54" s="2329"/>
      <c r="AM54" s="2329"/>
      <c r="AN54" s="2330"/>
      <c r="AO54" s="2334"/>
      <c r="AP54" s="2335"/>
      <c r="AQ54" s="748"/>
      <c r="AR54" s="2336"/>
    </row>
    <row r="55" spans="1:44">
      <c r="A55" s="749"/>
      <c r="B55" s="746"/>
      <c r="C55" s="746"/>
      <c r="D55" s="746"/>
      <c r="E55" s="746"/>
      <c r="F55" s="746"/>
      <c r="G55" s="746"/>
      <c r="H55" s="746"/>
      <c r="I55" s="746"/>
      <c r="J55" s="746"/>
      <c r="K55" s="746"/>
      <c r="L55" s="746"/>
      <c r="M55" s="746"/>
      <c r="N55" s="746"/>
      <c r="O55" s="746"/>
      <c r="P55" s="746"/>
      <c r="Q55" s="2351"/>
      <c r="R55" s="2352"/>
      <c r="S55" s="2352"/>
      <c r="T55" s="2352"/>
      <c r="U55" s="2352"/>
      <c r="V55" s="2352"/>
      <c r="W55" s="2352"/>
      <c r="X55" s="2352"/>
      <c r="Y55" s="2353"/>
      <c r="Z55" s="746"/>
      <c r="AA55" s="746"/>
      <c r="AB55" s="2331"/>
      <c r="AC55" s="2332"/>
      <c r="AD55" s="2332"/>
      <c r="AE55" s="2332"/>
      <c r="AF55" s="2332"/>
      <c r="AG55" s="2332"/>
      <c r="AH55" s="2332"/>
      <c r="AI55" s="2332"/>
      <c r="AJ55" s="2332"/>
      <c r="AK55" s="2332"/>
      <c r="AL55" s="2332"/>
      <c r="AM55" s="2332"/>
      <c r="AN55" s="2333"/>
      <c r="AO55" s="2334"/>
      <c r="AP55" s="2335"/>
      <c r="AQ55" s="746"/>
      <c r="AR55" s="2336"/>
    </row>
    <row r="56" spans="1:44" ht="8.1" customHeight="1">
      <c r="A56" s="2354"/>
      <c r="B56" s="2352"/>
      <c r="C56" s="2352"/>
      <c r="D56" s="2352"/>
      <c r="E56" s="2352"/>
      <c r="F56" s="2352"/>
      <c r="G56" s="2352"/>
      <c r="H56" s="2352"/>
      <c r="I56" s="2352"/>
      <c r="J56" s="2352"/>
      <c r="K56" s="2352"/>
      <c r="L56" s="2352"/>
      <c r="M56" s="2352"/>
      <c r="N56" s="2352"/>
      <c r="O56" s="2352"/>
      <c r="P56" s="2352"/>
      <c r="Q56" s="2352"/>
      <c r="R56" s="2352"/>
      <c r="S56" s="2352"/>
      <c r="T56" s="2352"/>
      <c r="U56" s="2352"/>
      <c r="V56" s="2352"/>
      <c r="W56" s="2352"/>
      <c r="X56" s="2352"/>
      <c r="Y56" s="2352"/>
      <c r="Z56" s="2352"/>
      <c r="AA56" s="2352"/>
      <c r="AB56" s="2352"/>
      <c r="AC56" s="2352"/>
      <c r="AD56" s="2352"/>
      <c r="AE56" s="2352"/>
      <c r="AF56" s="2352"/>
      <c r="AG56" s="2352"/>
      <c r="AH56" s="2352"/>
      <c r="AI56" s="2352"/>
      <c r="AJ56" s="2352"/>
      <c r="AK56" s="2352"/>
      <c r="AL56" s="2352"/>
      <c r="AM56" s="2352"/>
      <c r="AN56" s="2352"/>
      <c r="AO56" s="2352"/>
      <c r="AP56" s="2352"/>
      <c r="AQ56" s="2352"/>
      <c r="AR56" s="2353"/>
    </row>
    <row r="57" spans="1:44">
      <c r="A57" s="2355" t="str">
        <f>+'SP1'!A69</f>
        <v>Formulář zpracovala ASPEKT HM, daňová, účetní a auditorská kancelář, www.danovapriznani.cz, business.center.cz</v>
      </c>
      <c r="B57" s="2356"/>
      <c r="C57" s="2356"/>
      <c r="D57" s="2356"/>
      <c r="E57" s="2356"/>
      <c r="F57" s="2356"/>
      <c r="G57" s="2356"/>
      <c r="H57" s="2356"/>
      <c r="I57" s="2356"/>
      <c r="J57" s="2356"/>
      <c r="K57" s="2356"/>
      <c r="L57" s="2356"/>
      <c r="M57" s="2356"/>
      <c r="N57" s="2356"/>
      <c r="O57" s="2356"/>
      <c r="P57" s="2356"/>
      <c r="Q57" s="2356"/>
      <c r="R57" s="2356"/>
      <c r="S57" s="2356"/>
      <c r="T57" s="2356"/>
      <c r="U57" s="2356"/>
      <c r="V57" s="2356"/>
      <c r="W57" s="2356"/>
      <c r="X57" s="2356"/>
      <c r="Y57" s="2356"/>
      <c r="Z57" s="2356"/>
      <c r="AA57" s="2356"/>
      <c r="AB57" s="2356"/>
      <c r="AC57" s="2356"/>
      <c r="AD57" s="2356"/>
      <c r="AE57" s="2356"/>
      <c r="AF57" s="2356"/>
      <c r="AG57" s="2356"/>
      <c r="AH57" s="2356"/>
      <c r="AI57" s="2356"/>
      <c r="AJ57" s="2356"/>
      <c r="AK57" s="2356"/>
      <c r="AL57" s="2356"/>
      <c r="AM57" s="2356"/>
      <c r="AN57" s="2356"/>
      <c r="AO57" s="2356"/>
      <c r="AP57" s="2356"/>
      <c r="AQ57" s="2356"/>
      <c r="AR57" s="2356"/>
    </row>
    <row r="58" spans="1:44">
      <c r="A58" s="2317" t="str">
        <f>+CONCATENATE(ZAKL_DATA!A44)</f>
        <v/>
      </c>
      <c r="B58" s="1076"/>
      <c r="C58" s="1076"/>
      <c r="D58" s="1076"/>
      <c r="E58" s="1076"/>
      <c r="F58" s="1076"/>
      <c r="G58" s="1076"/>
      <c r="H58" s="1076"/>
      <c r="I58" s="1076"/>
      <c r="J58" s="1076"/>
      <c r="K58" s="1076"/>
      <c r="L58" s="1076"/>
      <c r="M58" s="1076"/>
      <c r="N58" s="1076"/>
      <c r="O58" s="1076"/>
      <c r="P58" s="1076"/>
      <c r="Q58" s="1076"/>
      <c r="R58" s="1076"/>
      <c r="S58" s="1076"/>
      <c r="T58" s="1076"/>
      <c r="U58" s="1076"/>
      <c r="V58" s="1076"/>
      <c r="W58" s="1076"/>
      <c r="X58" s="1076"/>
      <c r="Y58" s="1076"/>
      <c r="Z58" s="1076"/>
      <c r="AA58" s="1076"/>
      <c r="AB58" s="1076"/>
      <c r="AC58" s="1076"/>
      <c r="AD58" s="1076"/>
      <c r="AE58" s="1076"/>
      <c r="AF58" s="1076"/>
      <c r="AG58" s="1076"/>
      <c r="AH58" s="1076"/>
      <c r="AI58" s="1076"/>
      <c r="AJ58" s="1076"/>
      <c r="AK58" s="1076"/>
      <c r="AL58" s="1076"/>
      <c r="AM58" s="1076"/>
      <c r="AN58" s="1076"/>
      <c r="AO58" s="1076"/>
      <c r="AP58" s="1076"/>
      <c r="AQ58" s="1076"/>
      <c r="AR58" s="1076"/>
    </row>
    <row r="59" spans="1:44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</row>
    <row r="60" spans="1:44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</row>
    <row r="61" spans="1:44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</row>
    <row r="62" spans="1:44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</row>
    <row r="63" spans="1:44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</row>
    <row r="64" spans="1:44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</row>
    <row r="65" spans="1:44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</row>
    <row r="66" spans="1:44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</row>
    <row r="67" spans="1:44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</row>
    <row r="68" spans="1:44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</row>
    <row r="69" spans="1:44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</row>
    <row r="70" spans="1:44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</row>
    <row r="71" spans="1:44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</row>
    <row r="72" spans="1:44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</row>
    <row r="73" spans="1:44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</row>
    <row r="74" spans="1:44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</row>
    <row r="75" spans="1:44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</row>
    <row r="76" spans="1:44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</row>
    <row r="77" spans="1:44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</row>
    <row r="78" spans="1:44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</row>
    <row r="79" spans="1:44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</row>
    <row r="80" spans="1:44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</row>
    <row r="81" spans="1:44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</row>
    <row r="82" spans="1:44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</row>
    <row r="83" spans="1:44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</row>
    <row r="84" spans="1:44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</row>
    <row r="85" spans="1:44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</row>
    <row r="86" spans="1:44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</row>
    <row r="87" spans="1:44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</row>
    <row r="88" spans="1:44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</row>
    <row r="89" spans="1:44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</row>
    <row r="90" spans="1:44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</row>
    <row r="91" spans="1:44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</row>
    <row r="92" spans="1:44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</row>
    <row r="93" spans="1:44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</row>
    <row r="94" spans="1:44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</row>
    <row r="95" spans="1:44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</row>
    <row r="96" spans="1:44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</row>
    <row r="97" spans="1:44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</row>
    <row r="98" spans="1:44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</row>
    <row r="99" spans="1:44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</row>
    <row r="100" spans="1:44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</row>
    <row r="101" spans="1:44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</row>
    <row r="102" spans="1:44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</row>
    <row r="103" spans="1:44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</row>
    <row r="104" spans="1:44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</row>
    <row r="105" spans="1:44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</row>
    <row r="106" spans="1:44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</row>
    <row r="107" spans="1:44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</row>
    <row r="108" spans="1:44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</row>
    <row r="109" spans="1:44"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</row>
    <row r="110" spans="1:44"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</row>
  </sheetData>
  <sheetProtection algorithmName="SHA-512" hashValue="htn3qsPitUkG3/gjAISw6ohDOZta6Cgyf+7HCq1Se94yVwrhwLHT7IYpL3ioKpxUsEHzf4f1ZvEtuT8GtyQ8SA==" saltValue="nAXIyAUBwCEEOASpdj1XPQ==" spinCount="100000" sheet="1" objects="1" scenarios="1"/>
  <mergeCells count="147">
    <mergeCell ref="H29:P29"/>
    <mergeCell ref="R29:Z29"/>
    <mergeCell ref="AD29:AR29"/>
    <mergeCell ref="A30:AA30"/>
    <mergeCell ref="AB30:AR30"/>
    <mergeCell ref="AG16:AR16"/>
    <mergeCell ref="AG17:AR17"/>
    <mergeCell ref="N26:O26"/>
    <mergeCell ref="Z26:AA27"/>
    <mergeCell ref="P27:S27"/>
    <mergeCell ref="P24:S24"/>
    <mergeCell ref="U24:W24"/>
    <mergeCell ref="Y24:AA24"/>
    <mergeCell ref="AB24:AR24"/>
    <mergeCell ref="B25:AA25"/>
    <mergeCell ref="AD25:AR25"/>
    <mergeCell ref="AB26:AR26"/>
    <mergeCell ref="AD27:AR27"/>
    <mergeCell ref="B28:G29"/>
    <mergeCell ref="H28:Q28"/>
    <mergeCell ref="R28:AA28"/>
    <mergeCell ref="AB28:AR28"/>
    <mergeCell ref="AT1:AV1"/>
    <mergeCell ref="T2:AA2"/>
    <mergeCell ref="Q3:S4"/>
    <mergeCell ref="T3:AA3"/>
    <mergeCell ref="T4:AA4"/>
    <mergeCell ref="A5:R6"/>
    <mergeCell ref="T5:AA5"/>
    <mergeCell ref="U6:Z6"/>
    <mergeCell ref="A7:S7"/>
    <mergeCell ref="T7:V7"/>
    <mergeCell ref="X7:Y7"/>
    <mergeCell ref="A8:AR8"/>
    <mergeCell ref="A9:AR9"/>
    <mergeCell ref="A1:P4"/>
    <mergeCell ref="T1:AA1"/>
    <mergeCell ref="AF1:AR7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A14:F14"/>
    <mergeCell ref="H14:AI14"/>
    <mergeCell ref="AK14:AR14"/>
    <mergeCell ref="A15:F15"/>
    <mergeCell ref="H15:AI15"/>
    <mergeCell ref="AK15:AR15"/>
    <mergeCell ref="N23:O23"/>
    <mergeCell ref="P23:S23"/>
    <mergeCell ref="T23:W23"/>
    <mergeCell ref="A18:AR18"/>
    <mergeCell ref="A19:AR19"/>
    <mergeCell ref="A20:AR20"/>
    <mergeCell ref="A21:AR21"/>
    <mergeCell ref="B22:AA22"/>
    <mergeCell ref="AB22:AR22"/>
    <mergeCell ref="X23:AA23"/>
    <mergeCell ref="AD23:AR23"/>
    <mergeCell ref="A16:AE16"/>
    <mergeCell ref="A17:AE17"/>
    <mergeCell ref="T33:V33"/>
    <mergeCell ref="X33:AD33"/>
    <mergeCell ref="AE33:AN33"/>
    <mergeCell ref="AO33:AR33"/>
    <mergeCell ref="A31:V31"/>
    <mergeCell ref="W31:AR31"/>
    <mergeCell ref="W32:AR32"/>
    <mergeCell ref="B32:H32"/>
    <mergeCell ref="I32:S32"/>
    <mergeCell ref="T32:V32"/>
    <mergeCell ref="B33:H33"/>
    <mergeCell ref="I33:S33"/>
    <mergeCell ref="B34:V34"/>
    <mergeCell ref="W34:AR34"/>
    <mergeCell ref="B35:M35"/>
    <mergeCell ref="N35:O35"/>
    <mergeCell ref="P35:V35"/>
    <mergeCell ref="W36:AR36"/>
    <mergeCell ref="X35:AD35"/>
    <mergeCell ref="AE35:AN35"/>
    <mergeCell ref="AO35:AR35"/>
    <mergeCell ref="B36:V36"/>
    <mergeCell ref="B37:M37"/>
    <mergeCell ref="N37:O37"/>
    <mergeCell ref="P37:V37"/>
    <mergeCell ref="X37:AR37"/>
    <mergeCell ref="B38:V38"/>
    <mergeCell ref="Y38:AR38"/>
    <mergeCell ref="B39:M39"/>
    <mergeCell ref="N39:O39"/>
    <mergeCell ref="P39:V39"/>
    <mergeCell ref="Y39:AG39"/>
    <mergeCell ref="AH39:AO39"/>
    <mergeCell ref="AP39:AR39"/>
    <mergeCell ref="B40:H40"/>
    <mergeCell ref="I40:S40"/>
    <mergeCell ref="T40:V40"/>
    <mergeCell ref="B41:H41"/>
    <mergeCell ref="I41:S41"/>
    <mergeCell ref="T41:V41"/>
    <mergeCell ref="W40:X40"/>
    <mergeCell ref="Y40:AC40"/>
    <mergeCell ref="AE40:AR40"/>
    <mergeCell ref="W41:AC41"/>
    <mergeCell ref="AE41:AR41"/>
    <mergeCell ref="A42:V42"/>
    <mergeCell ref="B43:H43"/>
    <mergeCell ref="I43:S43"/>
    <mergeCell ref="T43:V43"/>
    <mergeCell ref="W43:AR43"/>
    <mergeCell ref="W42:AR42"/>
    <mergeCell ref="A44:V44"/>
    <mergeCell ref="X44:AF44"/>
    <mergeCell ref="AG44:AN44"/>
    <mergeCell ref="AO44:AR44"/>
    <mergeCell ref="A58:AR58"/>
    <mergeCell ref="A48:AR48"/>
    <mergeCell ref="A49:Z52"/>
    <mergeCell ref="AB50:AN55"/>
    <mergeCell ref="AO50:AR53"/>
    <mergeCell ref="B53:P53"/>
    <mergeCell ref="C54:P54"/>
    <mergeCell ref="B45:V45"/>
    <mergeCell ref="B46:H46"/>
    <mergeCell ref="I46:S46"/>
    <mergeCell ref="T46:V46"/>
    <mergeCell ref="Q54:Y55"/>
    <mergeCell ref="AO54:AP55"/>
    <mergeCell ref="AR54:AR55"/>
    <mergeCell ref="A56:AR56"/>
    <mergeCell ref="A57:AR57"/>
    <mergeCell ref="Y46:AA46"/>
    <mergeCell ref="AC46:AE46"/>
    <mergeCell ref="AG46:AI46"/>
    <mergeCell ref="AJ46:AN46"/>
    <mergeCell ref="AO46:AR46"/>
    <mergeCell ref="A47:V47"/>
    <mergeCell ref="W47:AR47"/>
  </mergeCells>
  <printOptions horizontalCentered="1" verticalCentered="1"/>
  <pageMargins left="0.27559055118110237" right="0.27559055118110237" top="0.31496062992125984" bottom="0" header="0.51181102362204722" footer="0"/>
  <pageSetup paperSize="9" scale="83" orientation="portrait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61E55-C1DF-4FEE-824B-6346B483F0D3}">
  <sheetPr>
    <pageSetUpPr fitToPage="1"/>
  </sheetPr>
  <dimension ref="A1:AC18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9.140625" defaultRowHeight="12.75"/>
  <cols>
    <col min="1" max="1" width="24" style="487" customWidth="1"/>
    <col min="2" max="5" width="18.7109375" style="487" customWidth="1"/>
    <col min="6" max="6" width="11.42578125" style="672" bestFit="1" customWidth="1"/>
    <col min="7" max="28" width="9.140625" style="672"/>
    <col min="29" max="16384" width="9.140625" style="487"/>
  </cols>
  <sheetData>
    <row r="1" spans="1:29" ht="18" customHeight="1">
      <c r="A1" s="2549" t="s">
        <v>3895</v>
      </c>
      <c r="B1" s="2550"/>
      <c r="C1" s="2550"/>
      <c r="D1" s="2550"/>
      <c r="E1" s="2550"/>
      <c r="F1" s="671"/>
      <c r="G1" s="671"/>
    </row>
    <row r="2" spans="1:29" ht="8.1" customHeight="1" thickBot="1">
      <c r="A2" s="2549"/>
      <c r="B2" s="2550"/>
      <c r="C2" s="2550"/>
      <c r="D2" s="2550"/>
      <c r="E2" s="2550"/>
      <c r="F2" s="671"/>
      <c r="G2" s="671"/>
    </row>
    <row r="3" spans="1:29" ht="18" customHeight="1">
      <c r="A3" s="2551" t="s">
        <v>3896</v>
      </c>
      <c r="B3" s="2552"/>
      <c r="C3" s="2553" t="str">
        <f>+CONCATENATE(ZAKL_DATA!B5," ",ZAKL_DATA!B4," ",ZAKL_DATA!B7)</f>
        <v xml:space="preserve">  </v>
      </c>
      <c r="D3" s="2554"/>
      <c r="E3" s="2555"/>
      <c r="F3" s="671"/>
      <c r="H3" s="671"/>
      <c r="AC3" s="672"/>
    </row>
    <row r="4" spans="1:29" ht="18" customHeight="1">
      <c r="A4" s="2538" t="s">
        <v>3544</v>
      </c>
      <c r="B4" s="2539"/>
      <c r="C4" s="2556">
        <f>+'DAP3'!D30</f>
        <v>0</v>
      </c>
      <c r="D4" s="2539"/>
      <c r="E4" s="2541"/>
      <c r="F4" s="671"/>
      <c r="H4" s="671"/>
      <c r="AC4" s="672"/>
    </row>
    <row r="5" spans="1:29" ht="18" customHeight="1">
      <c r="A5" s="2538" t="s">
        <v>3897</v>
      </c>
      <c r="B5" s="2539"/>
      <c r="C5" s="2540">
        <f>+C4</f>
        <v>0</v>
      </c>
      <c r="D5" s="2539"/>
      <c r="E5" s="2541"/>
      <c r="F5" s="671"/>
      <c r="G5" s="671"/>
      <c r="H5" s="671"/>
      <c r="AC5" s="672"/>
    </row>
    <row r="6" spans="1:29" ht="18" customHeight="1" thickBot="1">
      <c r="A6" s="2542" t="s">
        <v>3898</v>
      </c>
      <c r="B6" s="2543"/>
      <c r="C6" s="2544">
        <f>IF(OR(EXACT((LEFT(+'DAP1'!J17,1)),A60),EXACT((LEFT(+'DAP1'!J19,1)),A60)),+DATE(+'DAP1'!F24+1,6,30),DATE('DAP1'!F24+1,3,31))+1</f>
        <v>44652</v>
      </c>
      <c r="D6" s="2545"/>
      <c r="E6" s="2546"/>
      <c r="F6" s="671"/>
      <c r="G6" s="2547" t="s">
        <v>3899</v>
      </c>
      <c r="H6" s="671"/>
      <c r="AC6" s="672"/>
    </row>
    <row r="7" spans="1:29" ht="8.1" customHeight="1" thickBot="1">
      <c r="A7" s="2549"/>
      <c r="B7" s="2550"/>
      <c r="C7" s="2550"/>
      <c r="D7" s="2550"/>
      <c r="E7" s="2550"/>
      <c r="F7" s="671"/>
      <c r="G7" s="2548"/>
    </row>
    <row r="8" spans="1:29" ht="27" customHeight="1">
      <c r="A8" s="673" t="s">
        <v>3900</v>
      </c>
      <c r="B8" s="674" t="s">
        <v>3901</v>
      </c>
      <c r="C8" s="674" t="s">
        <v>3902</v>
      </c>
      <c r="D8" s="675" t="s">
        <v>3903</v>
      </c>
      <c r="E8" s="676" t="s">
        <v>3904</v>
      </c>
      <c r="F8" s="677"/>
      <c r="G8" s="678" t="s">
        <v>3905</v>
      </c>
    </row>
    <row r="9" spans="1:29" ht="15.95" customHeight="1">
      <c r="A9" s="679">
        <f>+C6</f>
        <v>44652</v>
      </c>
      <c r="B9" s="680">
        <f>+'DAP3'!D48</f>
        <v>0</v>
      </c>
      <c r="C9" s="680">
        <v>0</v>
      </c>
      <c r="D9" s="681">
        <v>0</v>
      </c>
      <c r="E9" s="682">
        <v>0</v>
      </c>
      <c r="G9" s="683" t="str">
        <f t="shared" ref="G9:G43" si="0">+IF(+ABS(B9)+ABS(C9)+ABS(D9)+ABS(E9)=0,"NE","ANO")</f>
        <v>NE</v>
      </c>
    </row>
    <row r="10" spans="1:29" ht="27.95" customHeight="1">
      <c r="A10" s="684" t="s">
        <v>3906</v>
      </c>
      <c r="B10" s="680">
        <v>0</v>
      </c>
      <c r="C10" s="680">
        <f>+'SP1'!H64</f>
        <v>31049</v>
      </c>
      <c r="D10" s="680">
        <v>0</v>
      </c>
      <c r="E10" s="682">
        <f>IF(OR(EXACT(+VZP!AV3,"X"),EXACT(VZP!AV3,"x"),EXACT('Ostatní ZP'!AV3,"X"),EXACT('Ostatní ZP'!AV3,"x")),-'Ostatní ZP'!AE35,-VZP!AE35)</f>
        <v>0</v>
      </c>
      <c r="G10" s="683" t="str">
        <f t="shared" si="0"/>
        <v>ANO</v>
      </c>
    </row>
    <row r="11" spans="1:29" ht="15.95" customHeight="1">
      <c r="A11" s="679">
        <f>CONCATENATE("7.",IF(MONTH(A9)&lt;12,MONTH(A9)+1,MONTH(A9)-11),".",IF(MONTH(A9)&gt;11,YEAR(A9)+1,YEAR(A9)))+1</f>
        <v>44689</v>
      </c>
      <c r="B11" s="680">
        <v>0</v>
      </c>
      <c r="C11" s="680">
        <v>0</v>
      </c>
      <c r="D11" s="681">
        <v>0</v>
      </c>
      <c r="E11" s="682">
        <f>IF(OR(EXACT(+VZP!AV3,"X"),EXACT(VZP!AV3,"x"),EXACT('Ostatní ZP'!AV3,"X"),EXACT('Ostatní ZP'!AV3,"x")),'Ostatní ZP'!AJ46,VZP!AJ46)</f>
        <v>2627</v>
      </c>
      <c r="G11" s="683" t="str">
        <f t="shared" si="0"/>
        <v>ANO</v>
      </c>
    </row>
    <row r="12" spans="1:29" ht="15.95" customHeight="1">
      <c r="A12" s="679">
        <f>CONCATENATE("1.",IF(MONTH(A11)&lt;12,MONTH(A11)+1,MONTH(A11)-11),".",IF(MONTH(A11)&gt;11,YEAR(A11)+1,YEAR(A11)))-1</f>
        <v>44712</v>
      </c>
      <c r="B12" s="680">
        <v>0</v>
      </c>
      <c r="C12" s="680">
        <f>+'SP2'!G9</f>
        <v>2841</v>
      </c>
      <c r="D12" s="681">
        <f>+'SP2'!AD9</f>
        <v>187</v>
      </c>
      <c r="E12" s="682">
        <v>0</v>
      </c>
      <c r="G12" s="683" t="str">
        <f t="shared" si="0"/>
        <v>ANO</v>
      </c>
    </row>
    <row r="13" spans="1:29" ht="15.95" customHeight="1">
      <c r="A13" s="679">
        <f>CONCATENATE("7.",IF(MONTH(A11)&lt;12,MONTH(A11)+1,MONTH(A11)-11),".",IF(MONTH(A11)&gt;11,YEAR(A11)+1,YEAR(A11)))+1</f>
        <v>44720</v>
      </c>
      <c r="B13" s="680">
        <v>0</v>
      </c>
      <c r="C13" s="680">
        <v>0</v>
      </c>
      <c r="D13" s="680">
        <v>0</v>
      </c>
      <c r="E13" s="682">
        <f>E11</f>
        <v>2627</v>
      </c>
      <c r="G13" s="683" t="str">
        <f t="shared" si="0"/>
        <v>ANO</v>
      </c>
    </row>
    <row r="14" spans="1:29" ht="15.95" customHeight="1">
      <c r="A14" s="679">
        <f>CONCATENATE("14.",IF(OR(MONTH(A9)=4,MONTH(A9)=7),MONTH(A9)+2,MONTH(A9)+1),".",IF(MONTH(A9)&gt;9,YEAR(A9)+1,YEAR(A9)))+1</f>
        <v>44727</v>
      </c>
      <c r="B14" s="680">
        <f>CEILING(IF(OR(MONTH($C$6)=5,MONTH($C$6)=4),+IF($C$5&gt;150000,INT($C$5/4/100+0.99)*100,0)+IF($C$5&gt;30000,INT($C$5*0.4/100+0.99)*100,0)*IF($C$5&gt;150000,0,1),+IF($C$5&gt;150000,INT($C$5/4/100+0.99)*100,0))*A100,100)</f>
        <v>0</v>
      </c>
      <c r="C14" s="680">
        <v>0</v>
      </c>
      <c r="D14" s="680">
        <v>0</v>
      </c>
      <c r="E14" s="682">
        <v>0</v>
      </c>
      <c r="G14" s="683" t="str">
        <f t="shared" si="0"/>
        <v>NE</v>
      </c>
    </row>
    <row r="15" spans="1:29" ht="15.95" customHeight="1">
      <c r="A15" s="679">
        <f>CONCATENATE("1.",IF(MONTH(A14)&lt;12,MONTH(A14)+1,MONTH(A14)-11),".",IF(MONTH(A14)&gt;11,YEAR(A14)+1,YEAR(A14)))-1</f>
        <v>44742</v>
      </c>
      <c r="B15" s="680">
        <v>0</v>
      </c>
      <c r="C15" s="680">
        <f>+C12</f>
        <v>2841</v>
      </c>
      <c r="D15" s="680">
        <f>+D12</f>
        <v>187</v>
      </c>
      <c r="E15" s="682">
        <v>0</v>
      </c>
      <c r="G15" s="683" t="str">
        <f t="shared" si="0"/>
        <v>ANO</v>
      </c>
    </row>
    <row r="16" spans="1:29" ht="15.95" customHeight="1">
      <c r="A16" s="679">
        <f>CONCATENATE("7.",IF(MONTH(A14)&lt;12,MONTH(A14)+1,MONTH(A14)-11),".",IF(MONTH(A14)&gt;11,YEAR(A14)+1,YEAR(A14)))+1</f>
        <v>44750</v>
      </c>
      <c r="B16" s="680">
        <v>0</v>
      </c>
      <c r="C16" s="680">
        <v>0</v>
      </c>
      <c r="D16" s="680">
        <v>0</v>
      </c>
      <c r="E16" s="682">
        <f>+E13</f>
        <v>2627</v>
      </c>
      <c r="G16" s="683" t="str">
        <f t="shared" si="0"/>
        <v>ANO</v>
      </c>
    </row>
    <row r="17" spans="1:7" ht="15.95" customHeight="1">
      <c r="A17" s="679">
        <f>CONCATENATE("1.",IF(MONTH(A16)&lt;12,MONTH(A16)+1,MONTH(A16)-11),".",IF(MONTH(A16)&gt;11,YEAR(A16)+1,YEAR(A16)))-1</f>
        <v>44773</v>
      </c>
      <c r="B17" s="680">
        <v>0</v>
      </c>
      <c r="C17" s="680">
        <f>+C15</f>
        <v>2841</v>
      </c>
      <c r="D17" s="680">
        <f>+D15</f>
        <v>187</v>
      </c>
      <c r="E17" s="682">
        <v>0</v>
      </c>
      <c r="G17" s="683" t="str">
        <f t="shared" si="0"/>
        <v>ANO</v>
      </c>
    </row>
    <row r="18" spans="1:7" ht="15.95" customHeight="1">
      <c r="A18" s="679">
        <f>CONCATENATE("7.",IF(MONTH(A16)&lt;12,MONTH(A16)+1,MONTH(A16)-11),".",IF(MONTH(A16)&gt;11,YEAR(A16)+1,YEAR(A16)))+1</f>
        <v>44781</v>
      </c>
      <c r="B18" s="680">
        <v>0</v>
      </c>
      <c r="C18" s="680">
        <v>0</v>
      </c>
      <c r="D18" s="680">
        <v>0</v>
      </c>
      <c r="E18" s="682">
        <f>E16</f>
        <v>2627</v>
      </c>
      <c r="G18" s="683" t="str">
        <f t="shared" si="0"/>
        <v>ANO</v>
      </c>
    </row>
    <row r="19" spans="1:7" ht="15.95" customHeight="1">
      <c r="A19" s="679">
        <f>CONCATENATE("1.",IF(MONTH(A18)&lt;12,MONTH(A18)+1,MONTH(A18)-11),".",IF(MONTH(A18)&gt;11,YEAR(A18)+1,YEAR(A18)))-1</f>
        <v>44804</v>
      </c>
      <c r="B19" s="680">
        <v>0</v>
      </c>
      <c r="C19" s="680">
        <f>+C17</f>
        <v>2841</v>
      </c>
      <c r="D19" s="680">
        <f>+D17</f>
        <v>187</v>
      </c>
      <c r="E19" s="682">
        <v>0</v>
      </c>
      <c r="G19" s="683" t="str">
        <f t="shared" si="0"/>
        <v>ANO</v>
      </c>
    </row>
    <row r="20" spans="1:7" ht="15.95" customHeight="1">
      <c r="A20" s="679">
        <f>CONCATENATE("7.",IF(MONTH(A18)&lt;12,MONTH(A18)+1,MONTH(A18)-11),".",IF(MONTH(A18)&gt;11,YEAR(A18)+1,YEAR(A18)))+1</f>
        <v>44812</v>
      </c>
      <c r="B20" s="680">
        <v>0</v>
      </c>
      <c r="C20" s="680">
        <v>0</v>
      </c>
      <c r="D20" s="680">
        <v>0</v>
      </c>
      <c r="E20" s="682">
        <f>+E18</f>
        <v>2627</v>
      </c>
      <c r="G20" s="683" t="str">
        <f t="shared" si="0"/>
        <v>ANO</v>
      </c>
    </row>
    <row r="21" spans="1:7" ht="15.95" customHeight="1">
      <c r="A21" s="685">
        <f>CONCATENATE("14.",IF(MONTH(A14)&gt;9,MONTH(A14)-9,MONTH(A14)+3),".",IF(MONTH(A14)&gt;9,YEAR(A14)+1,YEAR(A14)))+1</f>
        <v>44819</v>
      </c>
      <c r="B21" s="680">
        <f>CEILING(IF(OR(MONTH($C$6)=7),+IF($C$5&gt;150000,INT($C$5/4/100+0.99)*100,0)+IF($C$5&gt;30000,INT($C$5*0.4/100+0.99)*100,0)*IF($C$5&gt;150000,0,1),+IF($C$5&gt;150000,INT($C$5/4/100+0.99)*100,0))*A100,100)</f>
        <v>0</v>
      </c>
      <c r="C21" s="680">
        <v>0</v>
      </c>
      <c r="D21" s="680">
        <v>0</v>
      </c>
      <c r="E21" s="682">
        <v>0</v>
      </c>
      <c r="G21" s="683" t="str">
        <f t="shared" si="0"/>
        <v>NE</v>
      </c>
    </row>
    <row r="22" spans="1:7" ht="15.95" customHeight="1">
      <c r="A22" s="679">
        <f>CONCATENATE("1.",IF(MONTH(A21)&lt;12,MONTH(A21)+1,MONTH(A21)-11),".",IF(MONTH(A21)&gt;11,YEAR(A21)+1,YEAR(A21)))-1</f>
        <v>44834</v>
      </c>
      <c r="B22" s="680">
        <v>0</v>
      </c>
      <c r="C22" s="680">
        <f>+C19</f>
        <v>2841</v>
      </c>
      <c r="D22" s="680">
        <f>+D19</f>
        <v>187</v>
      </c>
      <c r="E22" s="682">
        <v>0</v>
      </c>
      <c r="G22" s="683" t="str">
        <f t="shared" si="0"/>
        <v>ANO</v>
      </c>
    </row>
    <row r="23" spans="1:7" ht="15.95" customHeight="1">
      <c r="A23" s="679">
        <f>CONCATENATE("7.",IF(MONTH(A21)&lt;12,MONTH(A21)+1,MONTH(A21)-11),".",IF(MONTH(A21)&gt;11,YEAR(A21)+1,YEAR(A21)))+1</f>
        <v>44842</v>
      </c>
      <c r="B23" s="680">
        <v>0</v>
      </c>
      <c r="C23" s="680">
        <v>0</v>
      </c>
      <c r="D23" s="680">
        <v>0</v>
      </c>
      <c r="E23" s="682">
        <f>E20</f>
        <v>2627</v>
      </c>
      <c r="G23" s="683" t="str">
        <f t="shared" si="0"/>
        <v>ANO</v>
      </c>
    </row>
    <row r="24" spans="1:7" ht="15.95" customHeight="1">
      <c r="A24" s="679">
        <f>CONCATENATE("1.",IF(MONTH(A23)&lt;12,MONTH(A23)+1,MONTH(A23)-11),".",IF(MONTH(A23)&gt;11,YEAR(A23)+1,YEAR(A23)))-1</f>
        <v>44865</v>
      </c>
      <c r="B24" s="680">
        <v>0</v>
      </c>
      <c r="C24" s="680">
        <f>+C22</f>
        <v>2841</v>
      </c>
      <c r="D24" s="680">
        <f>+D22</f>
        <v>187</v>
      </c>
      <c r="E24" s="682">
        <v>0</v>
      </c>
      <c r="G24" s="683" t="str">
        <f t="shared" si="0"/>
        <v>ANO</v>
      </c>
    </row>
    <row r="25" spans="1:7" ht="15.95" customHeight="1">
      <c r="A25" s="679">
        <f>CONCATENATE("7.",IF(MONTH(A23)&lt;12,MONTH(A23)+1,MONTH(A23)-11),".",IF(MONTH(A23)&gt;11,YEAR(A23)+1,YEAR(A23)))+1</f>
        <v>44873</v>
      </c>
      <c r="B25" s="680">
        <v>0</v>
      </c>
      <c r="C25" s="680">
        <v>0</v>
      </c>
      <c r="D25" s="680">
        <v>0</v>
      </c>
      <c r="E25" s="682">
        <f>E23</f>
        <v>2627</v>
      </c>
      <c r="G25" s="683" t="str">
        <f t="shared" si="0"/>
        <v>ANO</v>
      </c>
    </row>
    <row r="26" spans="1:7" ht="15.95" customHeight="1">
      <c r="A26" s="679">
        <f>CONCATENATE("1.",IF(MONTH(A25)&lt;12,MONTH(A25)+1,MONTH(A25)-11),".",IF(MONTH(A25)&gt;11,YEAR(A25)+1,YEAR(A25)))-1</f>
        <v>44895</v>
      </c>
      <c r="B26" s="680">
        <v>0</v>
      </c>
      <c r="C26" s="680">
        <f>+C24</f>
        <v>2841</v>
      </c>
      <c r="D26" s="680">
        <f>+D24</f>
        <v>187</v>
      </c>
      <c r="E26" s="682">
        <v>0</v>
      </c>
      <c r="G26" s="683" t="str">
        <f t="shared" si="0"/>
        <v>ANO</v>
      </c>
    </row>
    <row r="27" spans="1:7" ht="15.95" customHeight="1">
      <c r="A27" s="679">
        <f>CONCATENATE("7.",IF(MONTH(A25)&lt;12,MONTH(A25)+1,MONTH(A25)-11),".",IF(MONTH(A25)&gt;11,YEAR(A25)+1,YEAR(A25)))+1</f>
        <v>44903</v>
      </c>
      <c r="B27" s="680">
        <v>0</v>
      </c>
      <c r="C27" s="680">
        <v>0</v>
      </c>
      <c r="D27" s="680">
        <v>0</v>
      </c>
      <c r="E27" s="682">
        <f>E25</f>
        <v>2627</v>
      </c>
      <c r="G27" s="683" t="str">
        <f t="shared" si="0"/>
        <v>ANO</v>
      </c>
    </row>
    <row r="28" spans="1:7" ht="15.95" customHeight="1">
      <c r="A28" s="685">
        <f>CONCATENATE("14.",IF(MONTH(A21)&gt;9,MONTH(A21)-9,MONTH(A21)+3),".",IF(MONTH(A21)&gt;9,YEAR(A21)+1,YEAR(A21)))+1</f>
        <v>44910</v>
      </c>
      <c r="B28" s="680">
        <f>+B14</f>
        <v>0</v>
      </c>
      <c r="C28" s="680">
        <v>0</v>
      </c>
      <c r="D28" s="680">
        <v>0</v>
      </c>
      <c r="E28" s="682">
        <v>0</v>
      </c>
      <c r="G28" s="683" t="str">
        <f t="shared" si="0"/>
        <v>NE</v>
      </c>
    </row>
    <row r="29" spans="1:7" ht="15.95" customHeight="1">
      <c r="A29" s="679">
        <f>CONCATENATE("1.",IF(MONTH(A28)&lt;12,MONTH(A28)+1,MONTH(A28)-11),".",IF(MONTH(A28)&gt;11,YEAR(A28)+1,YEAR(A28)))-1</f>
        <v>44926</v>
      </c>
      <c r="B29" s="680">
        <v>0</v>
      </c>
      <c r="C29" s="680">
        <f>+C26</f>
        <v>2841</v>
      </c>
      <c r="D29" s="680">
        <f>+D26</f>
        <v>187</v>
      </c>
      <c r="E29" s="682">
        <v>0</v>
      </c>
      <c r="G29" s="683" t="str">
        <f t="shared" si="0"/>
        <v>ANO</v>
      </c>
    </row>
    <row r="30" spans="1:7" ht="15.95" customHeight="1">
      <c r="A30" s="679">
        <f>CONCATENATE("7.",IF(MONTH(A28)&lt;12,MONTH(A28)+1,MONTH(A28)-11),".",IF(MONTH(A28)&gt;11,YEAR(A28)+1,YEAR(A28)))+1</f>
        <v>44934</v>
      </c>
      <c r="B30" s="686">
        <v>0</v>
      </c>
      <c r="C30" s="680">
        <v>0</v>
      </c>
      <c r="D30" s="680">
        <v>0</v>
      </c>
      <c r="E30" s="682">
        <f>E27</f>
        <v>2627</v>
      </c>
      <c r="G30" s="683" t="str">
        <f t="shared" si="0"/>
        <v>ANO</v>
      </c>
    </row>
    <row r="31" spans="1:7" ht="15.95" customHeight="1">
      <c r="A31" s="679">
        <f>CONCATENATE("1.",IF(MONTH(A30)&lt;12,MONTH(A30)+1,MONTH(A30)-11),".",IF(MONTH(A30)&gt;11,YEAR(A30)+1,YEAR(A30)))-1</f>
        <v>44957</v>
      </c>
      <c r="B31" s="686">
        <v>0</v>
      </c>
      <c r="C31" s="680">
        <f>+C29</f>
        <v>2841</v>
      </c>
      <c r="D31" s="680">
        <f>+D29</f>
        <v>187</v>
      </c>
      <c r="E31" s="682">
        <v>0</v>
      </c>
      <c r="G31" s="683" t="str">
        <f t="shared" si="0"/>
        <v>ANO</v>
      </c>
    </row>
    <row r="32" spans="1:7" ht="15.95" customHeight="1">
      <c r="A32" s="679">
        <f>CONCATENATE("7.",IF(MONTH(A30)&lt;12,MONTH(A30)+1,MONTH(A30)-11),".",IF(MONTH(A30)&gt;11,YEAR(A30)+1,YEAR(A30)))+1</f>
        <v>44965</v>
      </c>
      <c r="B32" s="686">
        <v>0</v>
      </c>
      <c r="C32" s="680">
        <v>0</v>
      </c>
      <c r="D32" s="680">
        <v>0</v>
      </c>
      <c r="E32" s="682">
        <f>E30</f>
        <v>2627</v>
      </c>
      <c r="G32" s="683" t="str">
        <f t="shared" si="0"/>
        <v>ANO</v>
      </c>
    </row>
    <row r="33" spans="1:7" ht="15.95" customHeight="1">
      <c r="A33" s="679">
        <f>CONCATENATE("1.",IF(MONTH(A32)&lt;12,MONTH(A32)+1,MONTH(A32)-11),".",IF(MONTH(A32)&gt;11,YEAR(A32)+1,YEAR(A32)))-1</f>
        <v>44985</v>
      </c>
      <c r="B33" s="686">
        <v>0</v>
      </c>
      <c r="C33" s="680">
        <f>+C31</f>
        <v>2841</v>
      </c>
      <c r="D33" s="680">
        <f>+D31</f>
        <v>187</v>
      </c>
      <c r="E33" s="682">
        <v>0</v>
      </c>
      <c r="G33" s="683" t="str">
        <f t="shared" si="0"/>
        <v>ANO</v>
      </c>
    </row>
    <row r="34" spans="1:7" ht="15.95" customHeight="1">
      <c r="A34" s="679">
        <f>CONCATENATE("7.",IF(MONTH(A32)&lt;12,MONTH(A32)+1,MONTH(A32)-11),".",IF(MONTH(A32)&gt;11,YEAR(A32)+1,YEAR(A32)))+1</f>
        <v>44993</v>
      </c>
      <c r="B34" s="686">
        <v>0</v>
      </c>
      <c r="C34" s="680">
        <v>0</v>
      </c>
      <c r="D34" s="680">
        <v>0</v>
      </c>
      <c r="E34" s="682">
        <f>E32</f>
        <v>2627</v>
      </c>
      <c r="G34" s="683" t="str">
        <f t="shared" si="0"/>
        <v>ANO</v>
      </c>
    </row>
    <row r="35" spans="1:7" ht="15.95" customHeight="1">
      <c r="A35" s="685">
        <f>CONCATENATE("14.",IF(MONTH(A28)&gt;9,MONTH(A28)-9,MONTH(A28)+3),".",IF(MONTH(A28)&gt;9,YEAR(A28)+1,YEAR(A28)))+1</f>
        <v>45000</v>
      </c>
      <c r="B35" s="680">
        <f>+B21</f>
        <v>0</v>
      </c>
      <c r="C35" s="680">
        <v>0</v>
      </c>
      <c r="D35" s="680">
        <v>0</v>
      </c>
      <c r="E35" s="682">
        <v>0</v>
      </c>
      <c r="G35" s="683" t="str">
        <f t="shared" si="0"/>
        <v>NE</v>
      </c>
    </row>
    <row r="36" spans="1:7" ht="15.95" customHeight="1">
      <c r="A36" s="679">
        <f>CONCATENATE("1.",IF(MONTH(A35)&lt;12,MONTH(A35)+1,MONTH(A35)-11),".",IF(MONTH(A35)&gt;11,YEAR(A35)+1,YEAR(A35)))-1</f>
        <v>45016</v>
      </c>
      <c r="B36" s="680">
        <v>0</v>
      </c>
      <c r="C36" s="680">
        <f>+C33</f>
        <v>2841</v>
      </c>
      <c r="D36" s="680">
        <f>+D33</f>
        <v>187</v>
      </c>
      <c r="E36" s="682">
        <v>0</v>
      </c>
      <c r="G36" s="683" t="str">
        <f t="shared" si="0"/>
        <v>ANO</v>
      </c>
    </row>
    <row r="37" spans="1:7" ht="15.95" customHeight="1">
      <c r="A37" s="679">
        <f>CONCATENATE("7.",IF(MONTH(A35)&lt;12,MONTH(A35)+1,MONTH(A35)-11),".",IF(MONTH(A35)&gt;11,YEAR(A35)+1,YEAR(A35)))+1</f>
        <v>45024</v>
      </c>
      <c r="B37" s="686">
        <v>0</v>
      </c>
      <c r="C37" s="680">
        <v>0</v>
      </c>
      <c r="D37" s="680">
        <v>0</v>
      </c>
      <c r="E37" s="682">
        <f>E34</f>
        <v>2627</v>
      </c>
      <c r="G37" s="683" t="str">
        <f t="shared" si="0"/>
        <v>ANO</v>
      </c>
    </row>
    <row r="38" spans="1:7" ht="15.95" customHeight="1">
      <c r="A38" s="679">
        <f>CONCATENATE("1.",IF(MONTH(A37)&lt;12,MONTH(A37)+1,MONTH(A37)-11),".",IF(MONTH(A37)&gt;11,YEAR(A37)+1,YEAR(A37)))-1</f>
        <v>45046</v>
      </c>
      <c r="B38" s="686">
        <v>0</v>
      </c>
      <c r="C38" s="680">
        <f>+C36</f>
        <v>2841</v>
      </c>
      <c r="D38" s="680">
        <f>+D36</f>
        <v>187</v>
      </c>
      <c r="E38" s="682">
        <v>0</v>
      </c>
      <c r="G38" s="683" t="str">
        <f t="shared" si="0"/>
        <v>ANO</v>
      </c>
    </row>
    <row r="39" spans="1:7" ht="15.95" customHeight="1">
      <c r="A39" s="679">
        <f>CONCATENATE("7.",IF(MONTH(A37)&lt;12,MONTH(A37)+1,MONTH(A37)-11),".",IF(MONTH(A37)&gt;11,YEAR(A37)+1,YEAR(A37)))+1</f>
        <v>45054</v>
      </c>
      <c r="B39" s="686">
        <v>0</v>
      </c>
      <c r="C39" s="680">
        <v>0</v>
      </c>
      <c r="D39" s="680">
        <v>0</v>
      </c>
      <c r="E39" s="682">
        <f>E37</f>
        <v>2627</v>
      </c>
      <c r="G39" s="683" t="str">
        <f t="shared" si="0"/>
        <v>ANO</v>
      </c>
    </row>
    <row r="40" spans="1:7" ht="15.95" customHeight="1">
      <c r="A40" s="679">
        <f>CONCATENATE("1.",IF(MONTH(A39)&lt;12,MONTH(A39)+1,MONTH(A39)-11),".",IF(MONTH(A39)&gt;11,YEAR(A39)+1,YEAR(A39)))-1</f>
        <v>45077</v>
      </c>
      <c r="B40" s="686">
        <v>0</v>
      </c>
      <c r="C40" s="680">
        <f>+C38</f>
        <v>2841</v>
      </c>
      <c r="D40" s="680">
        <f>+D38</f>
        <v>187</v>
      </c>
      <c r="E40" s="682">
        <v>0</v>
      </c>
      <c r="G40" s="683" t="str">
        <f t="shared" si="0"/>
        <v>ANO</v>
      </c>
    </row>
    <row r="41" spans="1:7" ht="15.95" customHeight="1">
      <c r="A41" s="679">
        <f>CONCATENATE("7.",IF(MONTH(A39)&lt;12,MONTH(A39)+1,MONTH(A39)-11),".",IF(MONTH(A39)&gt;11,YEAR(A39)+1,YEAR(A39)))+1</f>
        <v>45085</v>
      </c>
      <c r="B41" s="686">
        <v>0</v>
      </c>
      <c r="C41" s="680">
        <v>0</v>
      </c>
      <c r="D41" s="680">
        <v>0</v>
      </c>
      <c r="E41" s="682">
        <f>E39</f>
        <v>2627</v>
      </c>
      <c r="G41" s="683" t="str">
        <f t="shared" si="0"/>
        <v>ANO</v>
      </c>
    </row>
    <row r="42" spans="1:7" ht="15.95" customHeight="1">
      <c r="A42" s="685">
        <f>CONCATENATE("14.",IF(MONTH(A35)&gt;9,MONTH(A35)-9,MONTH(A35)+3),".",IF(MONTH(A35)&gt;9,YEAR(A35)+1,YEAR(A35)))+1</f>
        <v>45092</v>
      </c>
      <c r="B42" s="680">
        <f>+B28</f>
        <v>0</v>
      </c>
      <c r="C42" s="680">
        <v>0</v>
      </c>
      <c r="D42" s="680">
        <v>0</v>
      </c>
      <c r="E42" s="682">
        <v>0</v>
      </c>
      <c r="G42" s="683" t="str">
        <f t="shared" si="0"/>
        <v>NE</v>
      </c>
    </row>
    <row r="43" spans="1:7" ht="15.95" customHeight="1" thickBot="1">
      <c r="A43" s="687">
        <f>CONCATENATE("1.",IF(MONTH(A42)&lt;12,MONTH(A42)+1,MONTH(A42)-11),".",IF(MONTH(A42)&gt;11,YEAR(A42)+1,YEAR(A42)))-1</f>
        <v>45107</v>
      </c>
      <c r="B43" s="688">
        <v>0</v>
      </c>
      <c r="C43" s="689">
        <f>+C40</f>
        <v>2841</v>
      </c>
      <c r="D43" s="689">
        <f>+D40</f>
        <v>187</v>
      </c>
      <c r="E43" s="690">
        <v>0</v>
      </c>
      <c r="G43" s="683" t="str">
        <f t="shared" si="0"/>
        <v>ANO</v>
      </c>
    </row>
    <row r="44" spans="1:7" ht="21.95" customHeight="1">
      <c r="A44" s="2534" t="s">
        <v>3907</v>
      </c>
      <c r="B44" s="2534"/>
      <c r="C44" s="2535"/>
      <c r="D44" s="2535"/>
      <c r="E44" s="2535"/>
      <c r="G44" s="683" t="s">
        <v>3908</v>
      </c>
    </row>
    <row r="45" spans="1:7" ht="33" customHeight="1">
      <c r="A45" s="2534" t="s">
        <v>3909</v>
      </c>
      <c r="B45" s="2534"/>
      <c r="C45" s="2535"/>
      <c r="D45" s="2535"/>
      <c r="E45" s="2535"/>
      <c r="G45" s="683" t="s">
        <v>3908</v>
      </c>
    </row>
    <row r="46" spans="1:7" ht="21.95" customHeight="1">
      <c r="A46" s="2534" t="s">
        <v>3910</v>
      </c>
      <c r="B46" s="2534"/>
      <c r="C46" s="2535"/>
      <c r="D46" s="2535"/>
      <c r="E46" s="2535"/>
      <c r="G46" s="683" t="s">
        <v>3908</v>
      </c>
    </row>
    <row r="47" spans="1:7" ht="21.95" customHeight="1">
      <c r="A47" s="2534" t="s">
        <v>3911</v>
      </c>
      <c r="B47" s="2534"/>
      <c r="C47" s="2535"/>
      <c r="D47" s="2535"/>
      <c r="E47" s="2535"/>
      <c r="G47" s="683" t="s">
        <v>3908</v>
      </c>
    </row>
    <row r="48" spans="1:7" ht="21.95" customHeight="1">
      <c r="A48" s="2534" t="s">
        <v>3912</v>
      </c>
      <c r="B48" s="2534"/>
      <c r="C48" s="2535"/>
      <c r="D48" s="2535"/>
      <c r="E48" s="2535"/>
      <c r="G48" s="683" t="s">
        <v>3908</v>
      </c>
    </row>
    <row r="49" spans="1:7" ht="33" customHeight="1">
      <c r="A49" s="2536" t="s">
        <v>3913</v>
      </c>
      <c r="B49" s="2537"/>
      <c r="C49" s="2537"/>
      <c r="D49" s="2537"/>
      <c r="E49" s="2537"/>
      <c r="G49" s="683"/>
    </row>
    <row r="50" spans="1:7" ht="15.95" customHeight="1">
      <c r="A50" s="2530" t="s">
        <v>3914</v>
      </c>
      <c r="B50" s="2530"/>
      <c r="C50" s="2531"/>
      <c r="D50" s="2531"/>
      <c r="E50" s="2531"/>
      <c r="G50" s="683" t="s">
        <v>3908</v>
      </c>
    </row>
    <row r="51" spans="1:7" ht="15.95" customHeight="1">
      <c r="A51" s="2532" t="str">
        <f>+'DAP1'!A46</f>
        <v>Formulář zpracovala ASPEKT HM, daňová, účetní a auditorská kancelář, www.danovapriznani.cz, business.center.cz</v>
      </c>
      <c r="B51" s="2533"/>
      <c r="C51" s="2533"/>
      <c r="D51" s="2533"/>
      <c r="E51" s="2533"/>
      <c r="G51" s="683" t="s">
        <v>3908</v>
      </c>
    </row>
    <row r="52" spans="1:7">
      <c r="A52" s="691"/>
      <c r="B52" s="672"/>
      <c r="C52" s="672"/>
      <c r="D52" s="672"/>
      <c r="E52" s="672"/>
    </row>
    <row r="53" spans="1:7">
      <c r="A53" s="691"/>
      <c r="B53" s="672"/>
      <c r="C53" s="672"/>
      <c r="D53" s="672"/>
      <c r="E53" s="672"/>
    </row>
    <row r="54" spans="1:7">
      <c r="A54" s="691"/>
      <c r="B54" s="672"/>
      <c r="C54" s="672"/>
      <c r="D54" s="672"/>
      <c r="E54" s="672"/>
    </row>
    <row r="55" spans="1:7">
      <c r="A55" s="672"/>
      <c r="B55" s="672"/>
      <c r="C55" s="672"/>
      <c r="D55" s="672"/>
      <c r="E55" s="672"/>
    </row>
    <row r="56" spans="1:7">
      <c r="A56" s="672"/>
      <c r="B56" s="672"/>
      <c r="C56" s="672"/>
      <c r="D56" s="672"/>
      <c r="E56" s="672"/>
    </row>
    <row r="57" spans="1:7">
      <c r="A57" s="672"/>
      <c r="B57" s="672"/>
      <c r="C57" s="672"/>
      <c r="D57" s="672"/>
      <c r="E57" s="672"/>
    </row>
    <row r="58" spans="1:7">
      <c r="A58" s="672"/>
      <c r="B58" s="672"/>
      <c r="C58" s="672"/>
      <c r="D58" s="672"/>
      <c r="E58" s="672"/>
    </row>
    <row r="59" spans="1:7">
      <c r="A59" s="672"/>
      <c r="B59" s="672"/>
      <c r="C59" s="672"/>
      <c r="D59" s="672"/>
      <c r="E59" s="672"/>
    </row>
    <row r="60" spans="1:7" hidden="1">
      <c r="A60" s="672" t="s">
        <v>258</v>
      </c>
      <c r="B60" s="672"/>
      <c r="C60" s="672"/>
      <c r="D60" s="672"/>
      <c r="E60" s="672"/>
    </row>
    <row r="61" spans="1:7">
      <c r="A61" s="672"/>
      <c r="B61" s="672"/>
      <c r="C61" s="672"/>
      <c r="D61" s="672"/>
      <c r="E61" s="672"/>
    </row>
    <row r="62" spans="1:7">
      <c r="A62" s="672"/>
      <c r="B62" s="672"/>
      <c r="C62" s="672"/>
      <c r="D62" s="672"/>
      <c r="E62" s="672"/>
    </row>
    <row r="63" spans="1:7">
      <c r="A63" s="672"/>
      <c r="B63" s="672"/>
      <c r="C63" s="672"/>
      <c r="D63" s="672"/>
      <c r="E63" s="672"/>
    </row>
    <row r="64" spans="1:7">
      <c r="A64" s="672"/>
      <c r="B64" s="672"/>
      <c r="C64" s="672"/>
      <c r="D64" s="672"/>
      <c r="E64" s="672"/>
    </row>
    <row r="65" spans="1:5">
      <c r="A65" s="672"/>
      <c r="B65" s="672"/>
      <c r="C65" s="672"/>
      <c r="D65" s="672"/>
      <c r="E65" s="672"/>
    </row>
    <row r="66" spans="1:5">
      <c r="A66" s="672"/>
      <c r="B66" s="672"/>
      <c r="C66" s="672"/>
      <c r="D66" s="672"/>
      <c r="E66" s="672"/>
    </row>
    <row r="67" spans="1:5">
      <c r="A67" s="672"/>
      <c r="B67" s="672"/>
      <c r="C67" s="672"/>
      <c r="D67" s="672"/>
      <c r="E67" s="672"/>
    </row>
    <row r="68" spans="1:5">
      <c r="A68" s="672"/>
      <c r="B68" s="672"/>
      <c r="C68" s="672"/>
      <c r="D68" s="672"/>
      <c r="E68" s="672"/>
    </row>
    <row r="69" spans="1:5">
      <c r="A69" s="672"/>
      <c r="B69" s="672"/>
      <c r="C69" s="672"/>
      <c r="D69" s="672"/>
      <c r="E69" s="672"/>
    </row>
    <row r="70" spans="1:5">
      <c r="A70" s="672"/>
      <c r="B70" s="672"/>
      <c r="C70" s="672"/>
      <c r="D70" s="672"/>
      <c r="E70" s="672"/>
    </row>
    <row r="71" spans="1:5">
      <c r="A71" s="672"/>
      <c r="B71" s="672"/>
      <c r="C71" s="672"/>
      <c r="D71" s="672"/>
      <c r="E71" s="672"/>
    </row>
    <row r="72" spans="1:5">
      <c r="A72" s="672"/>
      <c r="B72" s="672"/>
      <c r="C72" s="672"/>
      <c r="D72" s="672"/>
      <c r="E72" s="672"/>
    </row>
    <row r="73" spans="1:5">
      <c r="A73" s="672"/>
      <c r="B73" s="672"/>
      <c r="C73" s="672"/>
      <c r="D73" s="672"/>
      <c r="E73" s="672"/>
    </row>
    <row r="74" spans="1:5">
      <c r="A74" s="672"/>
      <c r="B74" s="672"/>
      <c r="C74" s="672"/>
      <c r="D74" s="672"/>
      <c r="E74" s="672"/>
    </row>
    <row r="75" spans="1:5">
      <c r="A75" s="672"/>
      <c r="B75" s="672"/>
      <c r="C75" s="672"/>
      <c r="D75" s="672"/>
      <c r="E75" s="672"/>
    </row>
    <row r="76" spans="1:5">
      <c r="A76" s="672"/>
      <c r="B76" s="672"/>
      <c r="C76" s="672"/>
      <c r="D76" s="672"/>
      <c r="E76" s="672"/>
    </row>
    <row r="77" spans="1:5">
      <c r="A77" s="672"/>
      <c r="B77" s="672"/>
      <c r="C77" s="672"/>
      <c r="D77" s="672"/>
      <c r="E77" s="672"/>
    </row>
    <row r="78" spans="1:5">
      <c r="A78" s="672"/>
      <c r="B78" s="672"/>
      <c r="C78" s="672"/>
      <c r="D78" s="672"/>
      <c r="E78" s="672"/>
    </row>
    <row r="79" spans="1:5">
      <c r="A79" s="672"/>
      <c r="B79" s="672"/>
      <c r="C79" s="672"/>
      <c r="D79" s="672"/>
      <c r="E79" s="672"/>
    </row>
    <row r="80" spans="1:5">
      <c r="A80" s="672"/>
      <c r="B80" s="672"/>
      <c r="C80" s="672"/>
      <c r="D80" s="672"/>
      <c r="E80" s="672"/>
    </row>
    <row r="81" spans="1:5">
      <c r="A81" s="672"/>
      <c r="B81" s="672"/>
      <c r="C81" s="672"/>
      <c r="D81" s="672"/>
      <c r="E81" s="672"/>
    </row>
    <row r="82" spans="1:5">
      <c r="A82" s="672"/>
      <c r="B82" s="672"/>
      <c r="C82" s="672"/>
      <c r="D82" s="672"/>
      <c r="E82" s="672"/>
    </row>
    <row r="83" spans="1:5">
      <c r="A83" s="672"/>
      <c r="B83" s="672"/>
      <c r="C83" s="672"/>
      <c r="D83" s="672"/>
      <c r="E83" s="672"/>
    </row>
    <row r="84" spans="1:5">
      <c r="A84" s="672"/>
      <c r="B84" s="672"/>
      <c r="C84" s="672"/>
      <c r="D84" s="672"/>
      <c r="E84" s="672"/>
    </row>
    <row r="85" spans="1:5">
      <c r="A85" s="672"/>
      <c r="B85" s="672"/>
      <c r="C85" s="672"/>
      <c r="D85" s="672"/>
      <c r="E85" s="672"/>
    </row>
    <row r="86" spans="1:5">
      <c r="A86" s="672"/>
      <c r="B86" s="672"/>
      <c r="C86" s="672"/>
      <c r="D86" s="672"/>
      <c r="E86" s="672"/>
    </row>
    <row r="87" spans="1:5">
      <c r="A87" s="672"/>
      <c r="B87" s="672"/>
      <c r="C87" s="672"/>
      <c r="D87" s="672"/>
      <c r="E87" s="672"/>
    </row>
    <row r="88" spans="1:5">
      <c r="A88" s="672"/>
      <c r="B88" s="672"/>
      <c r="C88" s="672"/>
      <c r="D88" s="672"/>
      <c r="E88" s="672"/>
    </row>
    <row r="89" spans="1:5">
      <c r="A89" s="672"/>
      <c r="B89" s="672"/>
      <c r="C89" s="672"/>
      <c r="D89" s="672"/>
      <c r="E89" s="672"/>
    </row>
    <row r="90" spans="1:5">
      <c r="A90" s="672"/>
      <c r="B90" s="672"/>
      <c r="C90" s="672"/>
      <c r="D90" s="672"/>
      <c r="E90" s="672"/>
    </row>
    <row r="91" spans="1:5">
      <c r="A91" s="672"/>
      <c r="B91" s="672"/>
      <c r="C91" s="672"/>
      <c r="D91" s="672"/>
      <c r="E91" s="672"/>
    </row>
    <row r="92" spans="1:5">
      <c r="A92" s="672"/>
      <c r="B92" s="672"/>
      <c r="C92" s="672"/>
      <c r="D92" s="672"/>
      <c r="E92" s="672"/>
    </row>
    <row r="93" spans="1:5">
      <c r="A93" s="672"/>
      <c r="B93" s="672"/>
      <c r="C93" s="672"/>
      <c r="D93" s="672"/>
      <c r="E93" s="672"/>
    </row>
    <row r="94" spans="1:5">
      <c r="A94" s="672"/>
      <c r="B94" s="672"/>
      <c r="C94" s="672"/>
      <c r="D94" s="672"/>
      <c r="E94" s="672"/>
    </row>
    <row r="95" spans="1:5">
      <c r="A95" s="672"/>
      <c r="B95" s="672"/>
      <c r="C95" s="672"/>
      <c r="D95" s="672"/>
      <c r="E95" s="672"/>
    </row>
    <row r="96" spans="1:5">
      <c r="A96" s="672"/>
      <c r="B96" s="672"/>
      <c r="C96" s="672"/>
      <c r="D96" s="672"/>
      <c r="E96" s="672"/>
    </row>
    <row r="97" spans="1:5">
      <c r="A97" s="672"/>
      <c r="B97" s="672"/>
      <c r="C97" s="672"/>
      <c r="D97" s="672"/>
      <c r="E97" s="672"/>
    </row>
    <row r="98" spans="1:5">
      <c r="A98" s="672"/>
      <c r="B98" s="672"/>
      <c r="C98" s="672"/>
      <c r="D98" s="672"/>
      <c r="E98" s="672"/>
    </row>
    <row r="99" spans="1:5">
      <c r="A99" s="672"/>
      <c r="B99" s="672"/>
      <c r="C99" s="672"/>
      <c r="D99" s="672"/>
      <c r="E99" s="672"/>
    </row>
    <row r="100" spans="1:5" hidden="1">
      <c r="A100" s="672">
        <f>+IF('DAP2'!E10&lt;0.5*'DAP2'!E16,+IF('DAP2'!E10/'DAP2'!E16&gt;0.15,0.5,1),0)</f>
        <v>0</v>
      </c>
      <c r="B100" s="672"/>
      <c r="C100" s="672"/>
      <c r="D100" s="672"/>
      <c r="E100" s="672"/>
    </row>
    <row r="101" spans="1:5">
      <c r="A101" s="672"/>
      <c r="B101" s="672"/>
      <c r="C101" s="672"/>
      <c r="D101" s="672"/>
      <c r="E101" s="672"/>
    </row>
    <row r="102" spans="1:5">
      <c r="A102" s="672"/>
      <c r="B102" s="672"/>
      <c r="C102" s="672"/>
      <c r="D102" s="672"/>
      <c r="E102" s="672"/>
    </row>
    <row r="103" spans="1:5">
      <c r="A103" s="672"/>
      <c r="B103" s="672"/>
      <c r="C103" s="672"/>
      <c r="D103" s="672"/>
      <c r="E103" s="672"/>
    </row>
    <row r="104" spans="1:5">
      <c r="A104" s="672"/>
      <c r="B104" s="672"/>
      <c r="C104" s="672"/>
      <c r="D104" s="672"/>
      <c r="E104" s="672"/>
    </row>
    <row r="105" spans="1:5">
      <c r="A105" s="672"/>
      <c r="B105" s="672"/>
      <c r="C105" s="672"/>
      <c r="D105" s="672"/>
      <c r="E105" s="672"/>
    </row>
    <row r="106" spans="1:5">
      <c r="A106" s="672"/>
      <c r="B106" s="672"/>
      <c r="C106" s="672"/>
      <c r="D106" s="672"/>
      <c r="E106" s="672"/>
    </row>
    <row r="107" spans="1:5">
      <c r="A107" s="672"/>
      <c r="B107" s="672"/>
      <c r="C107" s="672"/>
      <c r="D107" s="672"/>
      <c r="E107" s="672"/>
    </row>
    <row r="108" spans="1:5">
      <c r="A108" s="672"/>
      <c r="B108" s="672"/>
      <c r="C108" s="672"/>
      <c r="D108" s="672"/>
      <c r="E108" s="672"/>
    </row>
    <row r="109" spans="1:5">
      <c r="A109" s="672"/>
      <c r="B109" s="672"/>
      <c r="C109" s="672"/>
      <c r="D109" s="672"/>
      <c r="E109" s="672"/>
    </row>
    <row r="110" spans="1:5">
      <c r="A110" s="672"/>
      <c r="B110" s="672"/>
      <c r="C110" s="672"/>
      <c r="D110" s="672"/>
      <c r="E110" s="672"/>
    </row>
    <row r="111" spans="1:5">
      <c r="A111" s="672"/>
      <c r="B111" s="672"/>
      <c r="C111" s="672"/>
      <c r="D111" s="672"/>
      <c r="E111" s="672"/>
    </row>
    <row r="112" spans="1:5">
      <c r="A112" s="672"/>
      <c r="B112" s="672"/>
      <c r="C112" s="672"/>
      <c r="D112" s="672"/>
      <c r="E112" s="672"/>
    </row>
    <row r="113" spans="1:5">
      <c r="A113" s="672"/>
      <c r="B113" s="672"/>
      <c r="C113" s="672"/>
      <c r="D113" s="672"/>
      <c r="E113" s="672"/>
    </row>
    <row r="114" spans="1:5">
      <c r="A114" s="672"/>
      <c r="B114" s="672"/>
      <c r="C114" s="672"/>
      <c r="D114" s="672"/>
      <c r="E114" s="672"/>
    </row>
    <row r="115" spans="1:5">
      <c r="A115" s="672"/>
      <c r="B115" s="672"/>
      <c r="C115" s="672"/>
      <c r="D115" s="672"/>
      <c r="E115" s="672"/>
    </row>
    <row r="116" spans="1:5">
      <c r="A116" s="672"/>
      <c r="B116" s="672"/>
      <c r="C116" s="672"/>
      <c r="D116" s="672"/>
      <c r="E116" s="672"/>
    </row>
    <row r="117" spans="1:5">
      <c r="A117" s="672"/>
      <c r="B117" s="672"/>
      <c r="C117" s="672"/>
      <c r="D117" s="672"/>
      <c r="E117" s="672"/>
    </row>
    <row r="118" spans="1:5">
      <c r="A118" s="672"/>
      <c r="B118" s="672"/>
      <c r="C118" s="672"/>
      <c r="D118" s="672"/>
      <c r="E118" s="672"/>
    </row>
    <row r="119" spans="1:5">
      <c r="A119" s="672"/>
      <c r="B119" s="672"/>
      <c r="C119" s="672"/>
      <c r="D119" s="672"/>
      <c r="E119" s="672"/>
    </row>
    <row r="120" spans="1:5">
      <c r="A120" s="672"/>
      <c r="B120" s="672"/>
      <c r="C120" s="672"/>
      <c r="D120" s="672"/>
      <c r="E120" s="672"/>
    </row>
    <row r="121" spans="1:5">
      <c r="A121" s="672"/>
      <c r="B121" s="672"/>
      <c r="C121" s="672"/>
      <c r="D121" s="672"/>
      <c r="E121" s="672"/>
    </row>
    <row r="122" spans="1:5" s="672" customFormat="1"/>
    <row r="123" spans="1:5" s="672" customFormat="1"/>
    <row r="124" spans="1:5" s="672" customFormat="1"/>
    <row r="125" spans="1:5" s="672" customFormat="1"/>
    <row r="126" spans="1:5" s="672" customFormat="1"/>
    <row r="127" spans="1:5" s="672" customFormat="1"/>
    <row r="128" spans="1:5" s="672" customFormat="1"/>
    <row r="129" s="672" customFormat="1"/>
    <row r="130" s="672" customFormat="1"/>
    <row r="131" s="672" customFormat="1"/>
    <row r="132" s="672" customFormat="1"/>
    <row r="133" s="672" customFormat="1"/>
    <row r="134" s="672" customFormat="1"/>
    <row r="135" s="672" customFormat="1"/>
    <row r="136" s="672" customFormat="1"/>
    <row r="137" s="672" customFormat="1"/>
    <row r="138" s="672" customFormat="1"/>
    <row r="139" s="672" customFormat="1"/>
    <row r="140" s="672" customFormat="1"/>
    <row r="141" s="672" customFormat="1"/>
    <row r="142" s="672" customFormat="1"/>
    <row r="143" s="672" customFormat="1"/>
    <row r="144" s="672" customFormat="1"/>
    <row r="145" s="672" customFormat="1"/>
    <row r="146" s="672" customFormat="1"/>
    <row r="147" s="672" customFormat="1"/>
    <row r="148" s="672" customFormat="1"/>
    <row r="149" s="672" customFormat="1"/>
    <row r="150" s="672" customFormat="1"/>
    <row r="151" s="672" customFormat="1"/>
    <row r="152" s="672" customFormat="1"/>
    <row r="153" s="672" customFormat="1"/>
    <row r="154" s="672" customFormat="1"/>
    <row r="155" s="672" customFormat="1"/>
    <row r="156" s="672" customFormat="1"/>
    <row r="157" s="672" customFormat="1"/>
    <row r="158" s="672" customFormat="1"/>
    <row r="159" s="672" customFormat="1"/>
    <row r="160" s="672" customFormat="1"/>
    <row r="161" s="672" customFormat="1"/>
    <row r="162" s="672" customFormat="1"/>
    <row r="163" s="672" customFormat="1"/>
    <row r="164" s="672" customFormat="1"/>
    <row r="165" s="672" customFormat="1"/>
    <row r="166" s="672" customFormat="1"/>
    <row r="167" s="672" customFormat="1"/>
    <row r="168" s="672" customFormat="1"/>
    <row r="169" s="672" customFormat="1"/>
    <row r="170" s="672" customFormat="1"/>
    <row r="171" s="672" customFormat="1"/>
    <row r="172" s="672" customFormat="1"/>
    <row r="173" s="672" customFormat="1"/>
    <row r="174" s="672" customFormat="1"/>
    <row r="175" s="672" customFormat="1"/>
    <row r="176" s="672" customFormat="1"/>
    <row r="177" s="672" customFormat="1"/>
    <row r="178" s="672" customFormat="1"/>
    <row r="179" s="672" customFormat="1"/>
    <row r="180" s="672" customFormat="1"/>
    <row r="181" s="672" customFormat="1"/>
    <row r="182" s="672" customFormat="1"/>
    <row r="183" s="672" customFormat="1"/>
  </sheetData>
  <sheetProtection algorithmName="SHA-512" hashValue="Rz9DkRwzoArl3+Vj9cFn4q7bL3SKH0ZtTCbYBYNhJDZ9HwLC643S14NWWAPSRQzNqk7LP/LdCeqCQe0oOW+SBQ==" saltValue="6LhtwuLwGToVegEeZNYdgg==" spinCount="100000" sheet="1" autoFilter="0"/>
  <autoFilter ref="G8:G51" xr:uid="{00000000-0001-0000-1A00-000000000000}"/>
  <mergeCells count="20">
    <mergeCell ref="A1:E1"/>
    <mergeCell ref="A2:E2"/>
    <mergeCell ref="A3:B3"/>
    <mergeCell ref="C3:E3"/>
    <mergeCell ref="A4:B4"/>
    <mergeCell ref="C4:E4"/>
    <mergeCell ref="A5:B5"/>
    <mergeCell ref="C5:E5"/>
    <mergeCell ref="A6:B6"/>
    <mergeCell ref="C6:E6"/>
    <mergeCell ref="G6:G7"/>
    <mergeCell ref="A7:E7"/>
    <mergeCell ref="A50:E50"/>
    <mergeCell ref="A51:E51"/>
    <mergeCell ref="A44:E44"/>
    <mergeCell ref="A45:E45"/>
    <mergeCell ref="A46:E46"/>
    <mergeCell ref="A47:E47"/>
    <mergeCell ref="A48:E48"/>
    <mergeCell ref="A49:E49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91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B3B64-19F9-419D-8554-839C2728084E}">
  <sheetPr>
    <pageSetUpPr fitToPage="1"/>
  </sheetPr>
  <dimension ref="A1:AD174"/>
  <sheetViews>
    <sheetView tabSelected="1" zoomScaleNormal="100" workbookViewId="0">
      <selection activeCell="A13" sqref="A13:J13"/>
    </sheetView>
  </sheetViews>
  <sheetFormatPr defaultRowHeight="12.75"/>
  <cols>
    <col min="1" max="10" width="9.140625" style="769"/>
    <col min="11" max="11" width="9.140625" style="487"/>
    <col min="12" max="12" width="90.7109375" style="487" customWidth="1"/>
    <col min="13" max="30" width="9.140625" style="487"/>
    <col min="31" max="16384" width="9.140625" style="769"/>
  </cols>
  <sheetData>
    <row r="1" spans="1:12" ht="12.75" customHeight="1">
      <c r="A1" s="486"/>
      <c r="B1" s="486"/>
      <c r="C1" s="486"/>
      <c r="D1" s="486"/>
      <c r="E1" s="486"/>
      <c r="F1" s="486"/>
      <c r="G1" s="486"/>
      <c r="H1" s="486"/>
      <c r="I1" s="486"/>
      <c r="J1" s="486"/>
      <c r="L1" s="772"/>
    </row>
    <row r="2" spans="1:12" ht="12.75" customHeight="1">
      <c r="A2" s="486"/>
      <c r="B2" s="486"/>
      <c r="C2" s="486"/>
      <c r="D2" s="486"/>
      <c r="E2" s="486"/>
      <c r="F2" s="486"/>
      <c r="G2" s="486"/>
      <c r="H2" s="486"/>
      <c r="I2" s="486"/>
      <c r="J2" s="486"/>
      <c r="L2" s="772"/>
    </row>
    <row r="3" spans="1:12" ht="12.75" customHeight="1">
      <c r="A3" s="486"/>
      <c r="B3" s="486"/>
      <c r="C3" s="486"/>
      <c r="D3" s="486"/>
      <c r="E3" s="486"/>
      <c r="F3" s="486"/>
      <c r="G3" s="486"/>
      <c r="H3" s="486"/>
      <c r="I3" s="486"/>
      <c r="J3" s="486"/>
      <c r="L3" s="772"/>
    </row>
    <row r="4" spans="1:12">
      <c r="A4" s="486"/>
      <c r="B4" s="486"/>
      <c r="C4" s="486"/>
      <c r="D4" s="486"/>
      <c r="E4" s="486"/>
      <c r="F4" s="486"/>
      <c r="G4" s="486"/>
      <c r="H4" s="486"/>
      <c r="I4" s="486"/>
      <c r="J4" s="486"/>
      <c r="L4" s="488"/>
    </row>
    <row r="5" spans="1:12" ht="12.75" customHeight="1">
      <c r="A5" s="486"/>
      <c r="B5" s="486"/>
      <c r="C5" s="486"/>
      <c r="D5" s="486"/>
      <c r="E5" s="486"/>
      <c r="F5" s="486"/>
      <c r="G5" s="486"/>
      <c r="H5" s="486"/>
      <c r="I5" s="486"/>
      <c r="J5" s="486"/>
      <c r="L5" s="773"/>
    </row>
    <row r="6" spans="1:12">
      <c r="A6" s="486"/>
      <c r="B6" s="486"/>
      <c r="C6" s="486"/>
      <c r="D6" s="486"/>
      <c r="E6" s="486"/>
      <c r="F6" s="486"/>
      <c r="G6" s="486"/>
      <c r="H6" s="486"/>
      <c r="I6" s="486"/>
      <c r="J6" s="486"/>
      <c r="L6" s="773"/>
    </row>
    <row r="7" spans="1:12" ht="120" customHeight="1">
      <c r="A7" s="774" t="s">
        <v>3776</v>
      </c>
      <c r="B7" s="774"/>
      <c r="C7" s="774"/>
      <c r="D7" s="774"/>
      <c r="E7" s="774"/>
      <c r="F7" s="774"/>
      <c r="G7" s="774"/>
      <c r="H7" s="774"/>
      <c r="I7" s="774"/>
      <c r="J7" s="774"/>
      <c r="L7" s="773"/>
    </row>
    <row r="8" spans="1:12" ht="15" customHeight="1">
      <c r="A8" s="775" t="s">
        <v>3834</v>
      </c>
      <c r="B8" s="775"/>
      <c r="C8" s="775"/>
      <c r="D8" s="775"/>
      <c r="E8" s="775"/>
      <c r="F8" s="775"/>
      <c r="G8" s="775"/>
      <c r="H8" s="775"/>
      <c r="I8" s="775"/>
      <c r="J8" s="775"/>
      <c r="L8" s="773"/>
    </row>
    <row r="9" spans="1:12" ht="15" customHeight="1">
      <c r="A9" s="776" t="s">
        <v>3994</v>
      </c>
      <c r="B9" s="776"/>
      <c r="C9" s="776"/>
      <c r="D9" s="776"/>
      <c r="E9" s="776"/>
      <c r="F9" s="776"/>
      <c r="G9" s="776"/>
      <c r="H9" s="776"/>
      <c r="I9" s="776"/>
      <c r="J9" s="776"/>
      <c r="L9" s="773"/>
    </row>
    <row r="10" spans="1:12" ht="45" customHeight="1">
      <c r="A10" s="777"/>
      <c r="B10" s="777"/>
      <c r="C10" s="777"/>
      <c r="D10" s="777"/>
      <c r="E10" s="777"/>
      <c r="F10" s="777"/>
      <c r="G10" s="777"/>
      <c r="H10" s="777"/>
      <c r="I10" s="777"/>
      <c r="J10" s="777"/>
      <c r="L10" s="773"/>
    </row>
    <row r="11" spans="1:12" ht="15">
      <c r="A11" s="778" t="s">
        <v>3758</v>
      </c>
      <c r="B11" s="779"/>
      <c r="C11" s="779"/>
      <c r="D11" s="779"/>
      <c r="E11" s="779"/>
      <c r="F11" s="779"/>
      <c r="G11" s="779"/>
      <c r="H11" s="779"/>
      <c r="I11" s="779"/>
      <c r="J11" s="779"/>
      <c r="L11" s="773"/>
    </row>
    <row r="12" spans="1:12" ht="30" customHeight="1">
      <c r="A12" s="780" t="s">
        <v>3759</v>
      </c>
      <c r="B12" s="780"/>
      <c r="C12" s="780"/>
      <c r="D12" s="780"/>
      <c r="E12" s="780"/>
      <c r="F12" s="780"/>
      <c r="G12" s="780"/>
      <c r="H12" s="780"/>
      <c r="I12" s="780"/>
      <c r="J12" s="780"/>
      <c r="L12" s="773"/>
    </row>
    <row r="13" spans="1:12" ht="30" customHeight="1">
      <c r="A13" s="780" t="s">
        <v>3760</v>
      </c>
      <c r="B13" s="780"/>
      <c r="C13" s="780"/>
      <c r="D13" s="780"/>
      <c r="E13" s="780"/>
      <c r="F13" s="780"/>
      <c r="G13" s="780"/>
      <c r="H13" s="780"/>
      <c r="I13" s="780"/>
      <c r="J13" s="780"/>
      <c r="L13" s="773"/>
    </row>
    <row r="14" spans="1:12" ht="45" customHeight="1">
      <c r="A14" s="780" t="s">
        <v>3761</v>
      </c>
      <c r="B14" s="780"/>
      <c r="C14" s="780"/>
      <c r="D14" s="780"/>
      <c r="E14" s="780"/>
      <c r="F14" s="780"/>
      <c r="G14" s="780"/>
      <c r="H14" s="780"/>
      <c r="I14" s="780"/>
      <c r="J14" s="780"/>
      <c r="L14" s="773"/>
    </row>
    <row r="15" spans="1:12" ht="30" customHeight="1">
      <c r="A15" s="780" t="s">
        <v>3762</v>
      </c>
      <c r="B15" s="780"/>
      <c r="C15" s="780"/>
      <c r="D15" s="780"/>
      <c r="E15" s="780"/>
      <c r="F15" s="780"/>
      <c r="G15" s="780"/>
      <c r="H15" s="780"/>
      <c r="I15" s="780"/>
      <c r="J15" s="780"/>
      <c r="L15" s="773"/>
    </row>
    <row r="16" spans="1:12" ht="30" customHeight="1">
      <c r="A16" s="780" t="s">
        <v>3763</v>
      </c>
      <c r="B16" s="780"/>
      <c r="C16" s="780"/>
      <c r="D16" s="780"/>
      <c r="E16" s="780"/>
      <c r="F16" s="780"/>
      <c r="G16" s="780"/>
      <c r="H16" s="780"/>
      <c r="I16" s="780"/>
      <c r="J16" s="780"/>
      <c r="L16" s="773"/>
    </row>
    <row r="17" spans="1:12" ht="45" customHeight="1">
      <c r="A17" s="778"/>
      <c r="B17" s="781"/>
      <c r="C17" s="781"/>
      <c r="D17" s="781"/>
      <c r="E17" s="781"/>
      <c r="F17" s="781"/>
      <c r="G17" s="781"/>
      <c r="H17" s="781"/>
      <c r="I17" s="781"/>
      <c r="J17" s="781"/>
      <c r="L17" s="773"/>
    </row>
    <row r="18" spans="1:12" ht="45" customHeight="1">
      <c r="A18" s="782" t="s">
        <v>3995</v>
      </c>
      <c r="B18" s="782"/>
      <c r="C18" s="782"/>
      <c r="D18" s="782"/>
      <c r="E18" s="782"/>
      <c r="F18" s="782"/>
      <c r="G18" s="782"/>
      <c r="H18" s="782"/>
      <c r="I18" s="782"/>
      <c r="J18" s="782"/>
      <c r="L18" s="768"/>
    </row>
    <row r="19" spans="1:12" ht="34.5" customHeight="1">
      <c r="A19" s="783" t="str">
        <f>HYPERLINK("http://business.center.cz/business/sablony/s3-priznani-k-dani-z-prijmu-fyzickych-osob.aspx")</f>
        <v>http://business.center.cz/business/sablony/s3-priznani-k-dani-z-prijmu-fyzickych-osob.aspx</v>
      </c>
      <c r="B19" s="784"/>
      <c r="C19" s="784"/>
      <c r="D19" s="784"/>
      <c r="E19" s="784"/>
      <c r="F19" s="784"/>
      <c r="G19" s="784"/>
      <c r="H19" s="784"/>
      <c r="I19" s="784"/>
      <c r="J19" s="784"/>
      <c r="L19" s="773"/>
    </row>
    <row r="20" spans="1:12" ht="45" customHeigh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L20" s="773"/>
    </row>
    <row r="21" spans="1:12" ht="30" customHeight="1">
      <c r="A21" s="778" t="s">
        <v>3996</v>
      </c>
      <c r="B21" s="781"/>
      <c r="C21" s="781"/>
      <c r="D21" s="781"/>
      <c r="E21" s="781"/>
      <c r="F21" s="781"/>
      <c r="G21" s="781"/>
      <c r="H21" s="781"/>
      <c r="I21" s="781"/>
      <c r="J21" s="781"/>
      <c r="L21" s="773"/>
    </row>
    <row r="22" spans="1:12" ht="15" customHeight="1">
      <c r="A22" s="786" t="s">
        <v>3997</v>
      </c>
      <c r="B22" s="786"/>
      <c r="C22" s="786"/>
      <c r="D22" s="786"/>
      <c r="E22" s="786"/>
      <c r="F22" s="786"/>
      <c r="G22" s="786"/>
      <c r="H22" s="786"/>
      <c r="I22" s="786"/>
      <c r="J22" s="786"/>
      <c r="L22" s="773"/>
    </row>
    <row r="23" spans="1:12" ht="15" customHeight="1">
      <c r="A23" s="786" t="s">
        <v>3998</v>
      </c>
      <c r="B23" s="786"/>
      <c r="C23" s="786"/>
      <c r="D23" s="786"/>
      <c r="E23" s="786"/>
      <c r="F23" s="786"/>
      <c r="G23" s="786"/>
      <c r="H23" s="786"/>
      <c r="I23" s="786"/>
      <c r="J23" s="786"/>
      <c r="L23" s="773"/>
    </row>
    <row r="24" spans="1:12" ht="12.75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L24" s="773"/>
    </row>
    <row r="25" spans="1:12" ht="12.75" customHeight="1">
      <c r="A25" s="787"/>
      <c r="B25" s="787"/>
      <c r="C25" s="787"/>
      <c r="D25" s="787"/>
      <c r="E25" s="787"/>
      <c r="F25" s="787"/>
      <c r="G25" s="787"/>
      <c r="H25" s="787"/>
      <c r="I25" s="787"/>
      <c r="J25" s="787"/>
      <c r="L25" s="773"/>
    </row>
    <row r="26" spans="1:12" ht="12.75" customHeight="1">
      <c r="A26" s="787" t="s">
        <v>247</v>
      </c>
      <c r="B26" s="787"/>
      <c r="C26" s="787"/>
      <c r="D26" s="787"/>
      <c r="E26" s="787"/>
      <c r="F26" s="787"/>
      <c r="G26" s="787"/>
      <c r="H26" s="787"/>
      <c r="I26" s="787"/>
      <c r="J26" s="787"/>
      <c r="L26" s="773"/>
    </row>
    <row r="27" spans="1:12">
      <c r="A27" s="487"/>
      <c r="B27" s="487"/>
      <c r="C27" s="487"/>
      <c r="D27" s="487"/>
      <c r="E27" s="487"/>
      <c r="F27" s="487"/>
      <c r="G27" s="487"/>
      <c r="H27" s="487"/>
      <c r="I27" s="487"/>
      <c r="J27" s="487"/>
    </row>
    <row r="28" spans="1:12">
      <c r="A28" s="487"/>
      <c r="B28" s="487"/>
      <c r="C28" s="487"/>
      <c r="D28" s="487"/>
      <c r="E28" s="487"/>
      <c r="F28" s="487"/>
      <c r="G28" s="487"/>
      <c r="H28" s="487"/>
      <c r="I28" s="487"/>
      <c r="J28" s="487"/>
    </row>
    <row r="29" spans="1:12">
      <c r="A29" s="487"/>
      <c r="B29" s="487"/>
      <c r="C29" s="487"/>
      <c r="D29" s="487"/>
      <c r="E29" s="487"/>
      <c r="F29" s="487"/>
      <c r="G29" s="487"/>
      <c r="H29" s="487"/>
      <c r="I29" s="487"/>
      <c r="J29" s="487"/>
    </row>
    <row r="30" spans="1:12">
      <c r="A30" s="487"/>
      <c r="B30" s="487"/>
      <c r="C30" s="487"/>
      <c r="D30" s="487"/>
      <c r="E30" s="487"/>
      <c r="F30" s="487"/>
      <c r="G30" s="487"/>
      <c r="H30" s="487"/>
      <c r="I30" s="487"/>
      <c r="J30" s="487"/>
    </row>
    <row r="31" spans="1:12">
      <c r="A31" s="487"/>
      <c r="B31" s="487"/>
      <c r="C31" s="487"/>
      <c r="D31" s="487"/>
      <c r="E31" s="487"/>
      <c r="F31" s="487"/>
      <c r="G31" s="487"/>
      <c r="H31" s="487"/>
      <c r="I31" s="487"/>
      <c r="J31" s="487"/>
    </row>
    <row r="32" spans="1:12">
      <c r="A32" s="487"/>
      <c r="B32" s="487"/>
      <c r="C32" s="487"/>
      <c r="D32" s="487"/>
      <c r="E32" s="487"/>
      <c r="F32" s="487"/>
      <c r="G32" s="487"/>
      <c r="H32" s="487"/>
      <c r="I32" s="487"/>
      <c r="J32" s="487"/>
    </row>
    <row r="33" spans="1:10">
      <c r="A33" s="487"/>
      <c r="B33" s="487"/>
      <c r="C33" s="487"/>
      <c r="D33" s="487"/>
      <c r="E33" s="487"/>
      <c r="F33" s="487"/>
      <c r="G33" s="487"/>
      <c r="H33" s="487"/>
      <c r="I33" s="487"/>
      <c r="J33" s="487"/>
    </row>
    <row r="34" spans="1:10" s="487" customFormat="1"/>
    <row r="35" spans="1:10" s="487" customFormat="1"/>
    <row r="36" spans="1:10" s="487" customFormat="1"/>
    <row r="37" spans="1:10" s="487" customFormat="1"/>
    <row r="38" spans="1:10" s="487" customFormat="1"/>
    <row r="39" spans="1:10" s="487" customFormat="1"/>
    <row r="40" spans="1:10" s="487" customFormat="1"/>
    <row r="41" spans="1:10" s="487" customFormat="1"/>
    <row r="42" spans="1:10" s="487" customFormat="1"/>
    <row r="43" spans="1:10" s="487" customFormat="1"/>
    <row r="44" spans="1:10" s="487" customFormat="1"/>
    <row r="45" spans="1:10" s="487" customFormat="1"/>
    <row r="46" spans="1:10" s="487" customFormat="1"/>
    <row r="47" spans="1:10" s="487" customFormat="1"/>
    <row r="48" spans="1:10" s="487" customFormat="1"/>
    <row r="49" s="487" customFormat="1"/>
    <row r="50" s="487" customFormat="1"/>
    <row r="51" s="487" customFormat="1"/>
    <row r="52" s="487" customFormat="1"/>
    <row r="53" s="487" customFormat="1"/>
    <row r="54" s="487" customFormat="1"/>
    <row r="55" s="487" customFormat="1"/>
    <row r="56" s="487" customFormat="1"/>
    <row r="57" s="487" customFormat="1"/>
    <row r="58" s="487" customFormat="1"/>
    <row r="59" s="487" customFormat="1"/>
    <row r="60" s="487" customFormat="1"/>
    <row r="61" s="487" customFormat="1"/>
    <row r="62" s="487" customFormat="1"/>
    <row r="63" s="487" customFormat="1"/>
    <row r="64" s="487" customFormat="1"/>
    <row r="65" s="487" customFormat="1"/>
    <row r="66" s="487" customFormat="1"/>
    <row r="67" s="487" customFormat="1"/>
    <row r="68" s="487" customFormat="1"/>
    <row r="69" s="487" customFormat="1"/>
    <row r="70" s="487" customFormat="1"/>
    <row r="71" s="487" customFormat="1"/>
    <row r="72" s="487" customFormat="1"/>
    <row r="73" s="487" customFormat="1"/>
    <row r="74" s="487" customFormat="1"/>
    <row r="75" s="487" customFormat="1"/>
    <row r="76" s="487" customFormat="1"/>
    <row r="77" s="487" customFormat="1"/>
    <row r="78" s="487" customFormat="1"/>
    <row r="79" s="487" customFormat="1"/>
    <row r="80" s="487" customFormat="1"/>
    <row r="81" s="487" customFormat="1"/>
    <row r="82" s="487" customFormat="1"/>
    <row r="83" s="487" customFormat="1"/>
    <row r="84" s="487" customFormat="1"/>
    <row r="85" s="487" customFormat="1"/>
    <row r="86" s="487" customFormat="1"/>
    <row r="87" s="487" customFormat="1"/>
    <row r="88" s="487" customFormat="1"/>
    <row r="89" s="487" customFormat="1"/>
    <row r="90" s="487" customFormat="1"/>
    <row r="91" s="487" customFormat="1"/>
    <row r="92" s="487" customFormat="1"/>
    <row r="93" s="487" customFormat="1"/>
    <row r="94" s="487" customFormat="1"/>
    <row r="95" s="487" customFormat="1"/>
    <row r="96" s="487" customFormat="1"/>
    <row r="97" spans="1:1" s="487" customFormat="1" hidden="1">
      <c r="A97" s="489">
        <v>1</v>
      </c>
    </row>
    <row r="98" spans="1:1" s="487" customFormat="1" hidden="1">
      <c r="A98" s="489" t="s">
        <v>363</v>
      </c>
    </row>
    <row r="99" spans="1:1" s="487" customFormat="1"/>
    <row r="100" spans="1:1" s="487" customFormat="1"/>
    <row r="101" spans="1:1" s="487" customFormat="1"/>
    <row r="102" spans="1:1" s="487" customFormat="1"/>
    <row r="103" spans="1:1" s="487" customFormat="1"/>
    <row r="104" spans="1:1" s="487" customFormat="1"/>
    <row r="105" spans="1:1" s="487" customFormat="1"/>
    <row r="106" spans="1:1" s="487" customFormat="1"/>
    <row r="107" spans="1:1" s="487" customFormat="1"/>
    <row r="108" spans="1:1" s="487" customFormat="1"/>
    <row r="109" spans="1:1" s="487" customFormat="1"/>
    <row r="110" spans="1:1" s="487" customFormat="1"/>
    <row r="111" spans="1:1" s="487" customFormat="1"/>
    <row r="112" spans="1:1" s="487" customFormat="1"/>
    <row r="113" s="487" customFormat="1"/>
    <row r="114" s="487" customFormat="1"/>
    <row r="115" s="487" customFormat="1"/>
    <row r="116" s="487" customFormat="1"/>
    <row r="117" s="487" customFormat="1"/>
    <row r="118" s="487" customFormat="1"/>
    <row r="119" s="487" customFormat="1"/>
    <row r="120" s="487" customFormat="1"/>
    <row r="121" s="487" customFormat="1"/>
    <row r="122" s="487" customFormat="1"/>
    <row r="123" s="487" customFormat="1"/>
    <row r="124" s="487" customFormat="1"/>
    <row r="125" s="487" customFormat="1"/>
    <row r="126" s="487" customFormat="1"/>
    <row r="127" s="487" customFormat="1"/>
    <row r="128" s="487" customFormat="1"/>
    <row r="129" s="487" customFormat="1"/>
    <row r="130" s="487" customFormat="1"/>
    <row r="131" s="487" customFormat="1"/>
    <row r="132" s="487" customFormat="1"/>
    <row r="133" s="487" customFormat="1"/>
    <row r="134" s="487" customFormat="1"/>
    <row r="135" s="487" customFormat="1"/>
    <row r="136" s="487" customFormat="1"/>
    <row r="137" s="487" customFormat="1"/>
    <row r="138" s="487" customFormat="1"/>
    <row r="139" s="487" customFormat="1"/>
    <row r="140" s="487" customFormat="1"/>
    <row r="141" s="487" customFormat="1"/>
    <row r="142" s="487" customFormat="1"/>
    <row r="143" s="487" customFormat="1"/>
    <row r="144" s="487" customFormat="1"/>
    <row r="145" s="487" customFormat="1"/>
    <row r="146" s="487" customFormat="1"/>
    <row r="147" s="487" customFormat="1"/>
    <row r="148" s="487" customFormat="1"/>
    <row r="149" s="487" customFormat="1"/>
    <row r="150" s="487" customFormat="1"/>
    <row r="151" s="487" customFormat="1"/>
    <row r="152" s="487" customFormat="1"/>
    <row r="153" s="487" customFormat="1"/>
    <row r="154" s="487" customFormat="1"/>
    <row r="155" s="487" customFormat="1"/>
    <row r="156" s="487" customFormat="1"/>
    <row r="157" s="487" customFormat="1"/>
    <row r="158" s="487" customFormat="1"/>
    <row r="159" s="487" customFormat="1"/>
    <row r="160" s="487" customFormat="1"/>
    <row r="161" s="487" customFormat="1"/>
    <row r="162" s="487" customFormat="1"/>
    <row r="163" s="487" customFormat="1"/>
    <row r="164" s="487" customFormat="1"/>
    <row r="165" s="487" customFormat="1"/>
    <row r="166" s="487" customFormat="1"/>
    <row r="167" s="487" customFormat="1"/>
    <row r="168" s="487" customFormat="1"/>
    <row r="169" s="487" customFormat="1"/>
    <row r="170" s="487" customFormat="1"/>
    <row r="171" s="487" customFormat="1"/>
    <row r="172" s="487" customFormat="1"/>
    <row r="173" s="487" customFormat="1"/>
    <row r="174" s="487" customFormat="1"/>
  </sheetData>
  <sheetProtection algorithmName="SHA-512" hashValue="Vybi07PMyXROWSnwQmYqPrA6ez2aicV5Wxt6pRdXqgk73zboLGKyfezc2RNqzaYJOAokhzWPR9xPf+qtrdBvLg==" saltValue="FCbOBF4WX1iUaUlY3NH3KA==" spinCount="100000" sheet="1" objects="1" scenarios="1"/>
  <mergeCells count="23"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</mergeCells>
  <printOptions horizontalCentered="1" verticalCentered="1"/>
  <pageMargins left="0.39370078740157483" right="0.39370078740157483" top="0.78740157480314965" bottom="0.78740157480314965" header="0.51181102362204722" footer="0.51181102362204722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CFF"/>
    <pageSetUpPr fitToPage="1"/>
  </sheetPr>
  <dimension ref="A1:BG552"/>
  <sheetViews>
    <sheetView workbookViewId="0">
      <selection activeCell="F4" sqref="F4"/>
    </sheetView>
  </sheetViews>
  <sheetFormatPr defaultColWidth="9.140625" defaultRowHeight="12.75"/>
  <cols>
    <col min="1" max="1" width="6.7109375" style="350" customWidth="1"/>
    <col min="2" max="2" width="36.5703125" style="350" customWidth="1"/>
    <col min="3" max="3" width="6.85546875" style="350" customWidth="1"/>
    <col min="4" max="7" width="9.140625" style="350"/>
    <col min="8" max="8" width="6.7109375" style="350" customWidth="1"/>
    <col min="9" max="9" width="36.5703125" style="351" customWidth="1"/>
    <col min="10" max="10" width="6.85546875" style="351" customWidth="1"/>
    <col min="11" max="12" width="9.140625" style="351"/>
    <col min="13" max="13" width="6.7109375" style="351" customWidth="1"/>
    <col min="14" max="17" width="9.140625" style="348"/>
    <col min="18" max="59" width="9.140625" style="349"/>
    <col min="60" max="16384" width="9.140625" style="350"/>
  </cols>
  <sheetData>
    <row r="1" spans="1:13" ht="18">
      <c r="A1" s="492" t="s">
        <v>3458</v>
      </c>
      <c r="B1" s="493" t="s">
        <v>3766</v>
      </c>
      <c r="C1" s="494"/>
      <c r="D1" s="494"/>
      <c r="E1" s="494"/>
      <c r="F1" s="494"/>
      <c r="G1" s="494"/>
      <c r="H1" s="494"/>
      <c r="I1" s="495"/>
      <c r="J1" s="495"/>
      <c r="K1" s="495"/>
      <c r="L1" s="495"/>
      <c r="M1" s="495"/>
    </row>
    <row r="2" spans="1:13" ht="18">
      <c r="A2" s="494" t="s">
        <v>3459</v>
      </c>
      <c r="B2" s="493" t="s">
        <v>3976</v>
      </c>
      <c r="C2" s="494"/>
      <c r="D2" s="494"/>
      <c r="E2" s="494"/>
      <c r="F2" s="494"/>
      <c r="G2" s="494"/>
      <c r="H2" s="494"/>
      <c r="I2" s="495"/>
      <c r="J2" s="495"/>
      <c r="K2" s="495"/>
      <c r="L2" s="495"/>
      <c r="M2" s="495"/>
    </row>
    <row r="3" spans="1:13">
      <c r="A3" s="494" t="s">
        <v>3459</v>
      </c>
      <c r="B3" s="496" t="s">
        <v>3545</v>
      </c>
      <c r="C3" s="494"/>
      <c r="D3" s="494"/>
      <c r="E3" s="494"/>
      <c r="F3" s="494"/>
      <c r="G3" s="494"/>
      <c r="H3" s="494"/>
      <c r="I3" s="495"/>
      <c r="J3" s="495"/>
      <c r="K3" s="495"/>
      <c r="L3" s="495"/>
      <c r="M3" s="495"/>
    </row>
    <row r="4" spans="1:13">
      <c r="A4" s="494" t="s">
        <v>3459</v>
      </c>
      <c r="B4" s="497" t="s">
        <v>3767</v>
      </c>
      <c r="C4" s="494"/>
      <c r="D4" s="494"/>
      <c r="E4" s="494"/>
      <c r="F4" s="494"/>
      <c r="G4" s="494"/>
      <c r="H4" s="494"/>
      <c r="I4" s="495"/>
      <c r="J4" s="495"/>
      <c r="K4" s="495"/>
      <c r="L4" s="495"/>
      <c r="M4" s="495"/>
    </row>
    <row r="5" spans="1:13">
      <c r="A5" s="494" t="s">
        <v>3459</v>
      </c>
      <c r="B5" s="497" t="s">
        <v>3768</v>
      </c>
      <c r="C5" s="494"/>
      <c r="D5" s="494"/>
      <c r="E5" s="494"/>
      <c r="F5" s="494"/>
      <c r="G5" s="494"/>
      <c r="H5" s="494"/>
      <c r="I5" s="495"/>
      <c r="J5" s="495"/>
      <c r="K5" s="495"/>
      <c r="L5" s="495"/>
      <c r="M5" s="495"/>
    </row>
    <row r="6" spans="1:13" ht="13.5" thickBot="1">
      <c r="A6" s="494" t="s">
        <v>3459</v>
      </c>
      <c r="B6" s="494"/>
      <c r="C6" s="494"/>
      <c r="D6" s="494"/>
      <c r="E6" s="494"/>
      <c r="F6" s="494"/>
      <c r="G6" s="494"/>
      <c r="H6" s="494"/>
      <c r="I6" s="495"/>
      <c r="J6" s="495"/>
      <c r="K6" s="495"/>
      <c r="L6" s="495"/>
      <c r="M6" s="495"/>
    </row>
    <row r="7" spans="1:13" ht="25.5">
      <c r="A7" s="494" t="s">
        <v>3459</v>
      </c>
      <c r="B7" s="498" t="s">
        <v>3460</v>
      </c>
      <c r="C7" s="499"/>
      <c r="D7" s="499"/>
      <c r="E7" s="499"/>
      <c r="F7" s="499"/>
      <c r="G7" s="499"/>
      <c r="H7" s="499"/>
      <c r="I7" s="499"/>
      <c r="J7" s="499"/>
      <c r="K7" s="499"/>
      <c r="L7" s="500"/>
      <c r="M7" s="495"/>
    </row>
    <row r="8" spans="1:13" ht="0.75" customHeight="1" thickBot="1">
      <c r="A8" s="494" t="s">
        <v>3459</v>
      </c>
      <c r="B8" s="501"/>
      <c r="C8" s="502"/>
      <c r="D8" s="502"/>
      <c r="E8" s="502"/>
      <c r="F8" s="502"/>
      <c r="G8" s="502"/>
      <c r="H8" s="502"/>
      <c r="I8" s="502"/>
      <c r="J8" s="502"/>
      <c r="K8" s="502"/>
      <c r="L8" s="503"/>
      <c r="M8" s="495"/>
    </row>
    <row r="9" spans="1:13" ht="0.75" customHeight="1" thickBot="1">
      <c r="A9" s="494" t="s">
        <v>3459</v>
      </c>
      <c r="B9" s="504"/>
      <c r="C9" s="499"/>
      <c r="D9" s="499"/>
      <c r="E9" s="499"/>
      <c r="F9" s="499"/>
      <c r="G9" s="500"/>
      <c r="H9" s="505"/>
      <c r="I9" s="506"/>
      <c r="J9" s="507"/>
      <c r="K9" s="507"/>
      <c r="L9" s="508"/>
      <c r="M9" s="495"/>
    </row>
    <row r="10" spans="1:13" ht="20.25">
      <c r="A10" s="494" t="s">
        <v>3459</v>
      </c>
      <c r="B10" s="509" t="s">
        <v>3461</v>
      </c>
      <c r="C10" s="510"/>
      <c r="D10" s="510"/>
      <c r="E10" s="510"/>
      <c r="F10" s="510"/>
      <c r="G10" s="511"/>
      <c r="H10" s="512"/>
      <c r="I10" s="513" t="s">
        <v>3462</v>
      </c>
      <c r="J10" s="514"/>
      <c r="K10" s="514"/>
      <c r="L10" s="515"/>
      <c r="M10" s="495"/>
    </row>
    <row r="11" spans="1:13" ht="0.75" customHeight="1" thickBot="1">
      <c r="A11" s="494" t="s">
        <v>3459</v>
      </c>
      <c r="B11" s="516"/>
      <c r="C11" s="517"/>
      <c r="D11" s="517"/>
      <c r="E11" s="517"/>
      <c r="F11" s="517"/>
      <c r="G11" s="518"/>
      <c r="H11" s="519"/>
      <c r="I11" s="520"/>
      <c r="J11" s="521"/>
      <c r="K11" s="521"/>
      <c r="L11" s="522"/>
      <c r="M11" s="495"/>
    </row>
    <row r="12" spans="1:13">
      <c r="A12" s="494" t="s">
        <v>3459</v>
      </c>
      <c r="B12" s="523"/>
      <c r="C12" s="524"/>
      <c r="D12" s="525"/>
      <c r="E12" s="525"/>
      <c r="F12" s="525"/>
      <c r="G12" s="526"/>
      <c r="H12" s="527"/>
      <c r="I12" s="528"/>
      <c r="J12" s="529"/>
      <c r="K12" s="530"/>
      <c r="L12" s="531"/>
      <c r="M12" s="495"/>
    </row>
    <row r="13" spans="1:13">
      <c r="A13" s="494" t="s">
        <v>3459</v>
      </c>
      <c r="B13" s="532"/>
      <c r="C13" s="533"/>
      <c r="D13" s="534"/>
      <c r="E13" s="534"/>
      <c r="F13" s="534"/>
      <c r="G13" s="535"/>
      <c r="H13" s="527"/>
      <c r="I13" s="532"/>
      <c r="J13" s="529"/>
      <c r="K13" s="530"/>
      <c r="L13" s="531"/>
      <c r="M13" s="495"/>
    </row>
    <row r="14" spans="1:13">
      <c r="A14" s="494" t="s">
        <v>3459</v>
      </c>
      <c r="B14" s="532"/>
      <c r="C14" s="533"/>
      <c r="D14" s="534"/>
      <c r="E14" s="534"/>
      <c r="F14" s="534"/>
      <c r="G14" s="535"/>
      <c r="H14" s="527"/>
      <c r="I14" s="532"/>
      <c r="J14" s="529"/>
      <c r="K14" s="530"/>
      <c r="L14" s="531"/>
      <c r="M14" s="495"/>
    </row>
    <row r="15" spans="1:13">
      <c r="A15" s="494" t="s">
        <v>3459</v>
      </c>
      <c r="B15" s="532"/>
      <c r="C15" s="533"/>
      <c r="D15" s="534"/>
      <c r="E15" s="534"/>
      <c r="F15" s="534"/>
      <c r="G15" s="535"/>
      <c r="H15" s="527"/>
      <c r="I15" s="532"/>
      <c r="J15" s="529"/>
      <c r="K15" s="530"/>
      <c r="L15" s="531"/>
      <c r="M15" s="495"/>
    </row>
    <row r="16" spans="1:13">
      <c r="A16" s="494" t="s">
        <v>3459</v>
      </c>
      <c r="B16" s="532"/>
      <c r="C16" s="533"/>
      <c r="D16" s="534"/>
      <c r="E16" s="534"/>
      <c r="F16" s="534"/>
      <c r="G16" s="535"/>
      <c r="H16" s="527"/>
      <c r="I16" s="532"/>
      <c r="J16" s="529"/>
      <c r="K16" s="530"/>
      <c r="L16" s="531"/>
      <c r="M16" s="495"/>
    </row>
    <row r="17" spans="1:13">
      <c r="A17" s="494" t="s">
        <v>3459</v>
      </c>
      <c r="B17" s="532"/>
      <c r="C17" s="533"/>
      <c r="D17" s="534"/>
      <c r="E17" s="534"/>
      <c r="F17" s="534"/>
      <c r="G17" s="535"/>
      <c r="H17" s="527"/>
      <c r="I17" s="532"/>
      <c r="J17" s="529"/>
      <c r="K17" s="530"/>
      <c r="L17" s="531"/>
      <c r="M17" s="495"/>
    </row>
    <row r="18" spans="1:13">
      <c r="A18" s="494" t="s">
        <v>3459</v>
      </c>
      <c r="B18" s="532"/>
      <c r="C18" s="533"/>
      <c r="D18" s="534"/>
      <c r="E18" s="534"/>
      <c r="F18" s="534"/>
      <c r="G18" s="535"/>
      <c r="H18" s="527"/>
      <c r="I18" s="532"/>
      <c r="J18" s="529"/>
      <c r="K18" s="530"/>
      <c r="L18" s="531"/>
      <c r="M18" s="495"/>
    </row>
    <row r="19" spans="1:13">
      <c r="A19" s="494" t="s">
        <v>3459</v>
      </c>
      <c r="B19" s="532"/>
      <c r="C19" s="533"/>
      <c r="D19" s="534"/>
      <c r="E19" s="534"/>
      <c r="F19" s="534"/>
      <c r="G19" s="535"/>
      <c r="H19" s="527"/>
      <c r="I19" s="532"/>
      <c r="J19" s="529"/>
      <c r="K19" s="530"/>
      <c r="L19" s="531"/>
      <c r="M19" s="495"/>
    </row>
    <row r="20" spans="1:13">
      <c r="A20" s="494" t="s">
        <v>3459</v>
      </c>
      <c r="B20" s="532"/>
      <c r="C20" s="533"/>
      <c r="D20" s="534"/>
      <c r="E20" s="534"/>
      <c r="F20" s="534"/>
      <c r="G20" s="535"/>
      <c r="H20" s="527"/>
      <c r="I20" s="532"/>
      <c r="J20" s="529"/>
      <c r="K20" s="530"/>
      <c r="L20" s="531"/>
      <c r="M20" s="495"/>
    </row>
    <row r="21" spans="1:13">
      <c r="A21" s="494" t="s">
        <v>3459</v>
      </c>
      <c r="B21" s="532"/>
      <c r="C21" s="533"/>
      <c r="D21" s="534"/>
      <c r="E21" s="534"/>
      <c r="F21" s="534"/>
      <c r="G21" s="535"/>
      <c r="H21" s="527"/>
      <c r="I21" s="532"/>
      <c r="J21" s="529"/>
      <c r="K21" s="530"/>
      <c r="L21" s="531"/>
      <c r="M21" s="495"/>
    </row>
    <row r="22" spans="1:13">
      <c r="A22" s="494" t="s">
        <v>3459</v>
      </c>
      <c r="B22" s="532"/>
      <c r="C22" s="533"/>
      <c r="D22" s="534"/>
      <c r="E22" s="534"/>
      <c r="F22" s="534"/>
      <c r="G22" s="535"/>
      <c r="H22" s="527"/>
      <c r="I22" s="532"/>
      <c r="J22" s="529"/>
      <c r="K22" s="530"/>
      <c r="L22" s="531"/>
      <c r="M22" s="495"/>
    </row>
    <row r="23" spans="1:13">
      <c r="A23" s="494" t="s">
        <v>3459</v>
      </c>
      <c r="B23" s="532"/>
      <c r="C23" s="533"/>
      <c r="D23" s="534"/>
      <c r="E23" s="534"/>
      <c r="F23" s="534"/>
      <c r="G23" s="535"/>
      <c r="H23" s="527"/>
      <c r="I23" s="532"/>
      <c r="J23" s="529"/>
      <c r="K23" s="530"/>
      <c r="L23" s="531"/>
      <c r="M23" s="495"/>
    </row>
    <row r="24" spans="1:13">
      <c r="A24" s="494" t="s">
        <v>3459</v>
      </c>
      <c r="B24" s="532"/>
      <c r="C24" s="533"/>
      <c r="D24" s="534"/>
      <c r="E24" s="534"/>
      <c r="F24" s="534"/>
      <c r="G24" s="535"/>
      <c r="H24" s="527"/>
      <c r="I24" s="532"/>
      <c r="J24" s="529"/>
      <c r="K24" s="530"/>
      <c r="L24" s="531"/>
      <c r="M24" s="495"/>
    </row>
    <row r="25" spans="1:13">
      <c r="A25" s="494" t="s">
        <v>3459</v>
      </c>
      <c r="B25" s="532"/>
      <c r="C25" s="533"/>
      <c r="D25" s="534"/>
      <c r="E25" s="534"/>
      <c r="F25" s="534"/>
      <c r="G25" s="535"/>
      <c r="H25" s="527"/>
      <c r="I25" s="532"/>
      <c r="J25" s="529"/>
      <c r="K25" s="530"/>
      <c r="L25" s="531"/>
      <c r="M25" s="495"/>
    </row>
    <row r="26" spans="1:13">
      <c r="A26" s="494" t="s">
        <v>3459</v>
      </c>
      <c r="B26" s="532"/>
      <c r="C26" s="533"/>
      <c r="D26" s="534"/>
      <c r="E26" s="534"/>
      <c r="F26" s="534"/>
      <c r="G26" s="535"/>
      <c r="H26" s="527"/>
      <c r="I26" s="532"/>
      <c r="J26" s="529"/>
      <c r="K26" s="530"/>
      <c r="L26" s="531"/>
      <c r="M26" s="495"/>
    </row>
    <row r="27" spans="1:13">
      <c r="A27" s="494" t="s">
        <v>3459</v>
      </c>
      <c r="B27" s="532"/>
      <c r="C27" s="533"/>
      <c r="D27" s="534"/>
      <c r="E27" s="534"/>
      <c r="F27" s="534"/>
      <c r="G27" s="535"/>
      <c r="H27" s="527"/>
      <c r="I27" s="532"/>
      <c r="J27" s="529"/>
      <c r="K27" s="530"/>
      <c r="L27" s="531"/>
      <c r="M27" s="495"/>
    </row>
    <row r="28" spans="1:13">
      <c r="A28" s="494" t="s">
        <v>3459</v>
      </c>
      <c r="B28" s="532"/>
      <c r="C28" s="533"/>
      <c r="D28" s="534"/>
      <c r="E28" s="534"/>
      <c r="F28" s="534"/>
      <c r="G28" s="535"/>
      <c r="H28" s="527"/>
      <c r="I28" s="532"/>
      <c r="J28" s="529"/>
      <c r="K28" s="530"/>
      <c r="L28" s="531"/>
      <c r="M28" s="495"/>
    </row>
    <row r="29" spans="1:13">
      <c r="A29" s="494" t="s">
        <v>3459</v>
      </c>
      <c r="B29" s="532"/>
      <c r="C29" s="533"/>
      <c r="D29" s="534"/>
      <c r="E29" s="534"/>
      <c r="F29" s="534"/>
      <c r="G29" s="535"/>
      <c r="H29" s="527"/>
      <c r="I29" s="532"/>
      <c r="J29" s="529"/>
      <c r="K29" s="530"/>
      <c r="L29" s="531"/>
      <c r="M29" s="495"/>
    </row>
    <row r="30" spans="1:13">
      <c r="A30" s="494" t="s">
        <v>3459</v>
      </c>
      <c r="B30" s="532"/>
      <c r="C30" s="533"/>
      <c r="D30" s="534"/>
      <c r="E30" s="534"/>
      <c r="F30" s="534"/>
      <c r="G30" s="535"/>
      <c r="H30" s="527"/>
      <c r="I30" s="532"/>
      <c r="J30" s="529"/>
      <c r="K30" s="530"/>
      <c r="L30" s="531"/>
      <c r="M30" s="495"/>
    </row>
    <row r="31" spans="1:13">
      <c r="A31" s="494" t="s">
        <v>3459</v>
      </c>
      <c r="B31" s="532"/>
      <c r="C31" s="533"/>
      <c r="D31" s="534"/>
      <c r="E31" s="534"/>
      <c r="F31" s="534"/>
      <c r="G31" s="535"/>
      <c r="H31" s="527"/>
      <c r="I31" s="532"/>
      <c r="J31" s="529"/>
      <c r="K31" s="530"/>
      <c r="L31" s="531"/>
      <c r="M31" s="495"/>
    </row>
    <row r="32" spans="1:13">
      <c r="A32" s="494" t="s">
        <v>3459</v>
      </c>
      <c r="B32" s="532"/>
      <c r="C32" s="533"/>
      <c r="D32" s="534"/>
      <c r="E32" s="534"/>
      <c r="F32" s="534"/>
      <c r="G32" s="535"/>
      <c r="H32" s="527"/>
      <c r="I32" s="532"/>
      <c r="J32" s="529"/>
      <c r="K32" s="530"/>
      <c r="L32" s="531"/>
      <c r="M32" s="495"/>
    </row>
    <row r="33" spans="1:13">
      <c r="A33" s="494" t="s">
        <v>3459</v>
      </c>
      <c r="B33" s="532"/>
      <c r="C33" s="533"/>
      <c r="D33" s="534"/>
      <c r="E33" s="534"/>
      <c r="F33" s="534"/>
      <c r="G33" s="535"/>
      <c r="H33" s="527"/>
      <c r="I33" s="532"/>
      <c r="J33" s="536"/>
      <c r="K33" s="530"/>
      <c r="L33" s="531"/>
      <c r="M33" s="495"/>
    </row>
    <row r="34" spans="1:13">
      <c r="A34" s="494" t="s">
        <v>3459</v>
      </c>
      <c r="B34" s="532"/>
      <c r="C34" s="533"/>
      <c r="D34" s="534"/>
      <c r="E34" s="534"/>
      <c r="F34" s="534"/>
      <c r="G34" s="535"/>
      <c r="H34" s="527"/>
      <c r="I34" s="532"/>
      <c r="J34" s="536"/>
      <c r="K34" s="530"/>
      <c r="L34" s="531"/>
      <c r="M34" s="495"/>
    </row>
    <row r="35" spans="1:13">
      <c r="A35" s="494" t="s">
        <v>3459</v>
      </c>
      <c r="B35" s="532"/>
      <c r="C35" s="533"/>
      <c r="D35" s="534"/>
      <c r="E35" s="534"/>
      <c r="F35" s="534"/>
      <c r="G35" s="535"/>
      <c r="H35" s="527"/>
      <c r="I35" s="532"/>
      <c r="J35" s="536"/>
      <c r="K35" s="530"/>
      <c r="L35" s="531"/>
      <c r="M35" s="495"/>
    </row>
    <row r="36" spans="1:13">
      <c r="A36" s="494" t="s">
        <v>3459</v>
      </c>
      <c r="B36" s="532"/>
      <c r="C36" s="533"/>
      <c r="D36" s="534"/>
      <c r="E36" s="534"/>
      <c r="F36" s="534"/>
      <c r="G36" s="535"/>
      <c r="H36" s="527"/>
      <c r="I36" s="532"/>
      <c r="J36" s="536"/>
      <c r="K36" s="530"/>
      <c r="L36" s="531"/>
      <c r="M36" s="495"/>
    </row>
    <row r="37" spans="1:13">
      <c r="A37" s="494" t="s">
        <v>3459</v>
      </c>
      <c r="B37" s="532"/>
      <c r="C37" s="533"/>
      <c r="D37" s="534"/>
      <c r="E37" s="534"/>
      <c r="F37" s="534"/>
      <c r="G37" s="535"/>
      <c r="H37" s="527"/>
      <c r="I37" s="532"/>
      <c r="J37" s="536"/>
      <c r="K37" s="530"/>
      <c r="L37" s="531"/>
      <c r="M37" s="495"/>
    </row>
    <row r="38" spans="1:13">
      <c r="A38" s="494" t="s">
        <v>3459</v>
      </c>
      <c r="B38" s="532"/>
      <c r="C38" s="533"/>
      <c r="D38" s="534"/>
      <c r="E38" s="534"/>
      <c r="F38" s="534"/>
      <c r="G38" s="535"/>
      <c r="H38" s="527"/>
      <c r="I38" s="532"/>
      <c r="J38" s="536"/>
      <c r="K38" s="530"/>
      <c r="L38" s="531"/>
      <c r="M38" s="495"/>
    </row>
    <row r="39" spans="1:13">
      <c r="A39" s="494" t="s">
        <v>3459</v>
      </c>
      <c r="B39" s="532"/>
      <c r="C39" s="533"/>
      <c r="D39" s="534"/>
      <c r="E39" s="534"/>
      <c r="F39" s="534"/>
      <c r="G39" s="535"/>
      <c r="H39" s="527"/>
      <c r="I39" s="532"/>
      <c r="J39" s="536"/>
      <c r="K39" s="530"/>
      <c r="L39" s="531"/>
      <c r="M39" s="495"/>
    </row>
    <row r="40" spans="1:13">
      <c r="A40" s="494" t="s">
        <v>3459</v>
      </c>
      <c r="B40" s="532"/>
      <c r="C40" s="533"/>
      <c r="D40" s="534"/>
      <c r="E40" s="534"/>
      <c r="F40" s="534"/>
      <c r="G40" s="535"/>
      <c r="H40" s="527"/>
      <c r="I40" s="532"/>
      <c r="J40" s="536"/>
      <c r="K40" s="530"/>
      <c r="L40" s="531"/>
      <c r="M40" s="495"/>
    </row>
    <row r="41" spans="1:13">
      <c r="A41" s="494" t="s">
        <v>3459</v>
      </c>
      <c r="B41" s="532"/>
      <c r="C41" s="533"/>
      <c r="D41" s="534"/>
      <c r="E41" s="534"/>
      <c r="F41" s="534"/>
      <c r="G41" s="535"/>
      <c r="H41" s="527"/>
      <c r="I41" s="532"/>
      <c r="J41" s="536"/>
      <c r="K41" s="530"/>
      <c r="L41" s="531"/>
      <c r="M41" s="495"/>
    </row>
    <row r="42" spans="1:13">
      <c r="A42" s="494" t="s">
        <v>3459</v>
      </c>
      <c r="B42" s="532"/>
      <c r="C42" s="533"/>
      <c r="D42" s="534"/>
      <c r="E42" s="534"/>
      <c r="F42" s="534"/>
      <c r="G42" s="535"/>
      <c r="H42" s="527"/>
      <c r="I42" s="532"/>
      <c r="J42" s="536"/>
      <c r="K42" s="530"/>
      <c r="L42" s="531"/>
      <c r="M42" s="495"/>
    </row>
    <row r="43" spans="1:13">
      <c r="A43" s="494" t="s">
        <v>3459</v>
      </c>
      <c r="B43" s="532"/>
      <c r="C43" s="533"/>
      <c r="D43" s="534"/>
      <c r="E43" s="534"/>
      <c r="F43" s="534"/>
      <c r="G43" s="535"/>
      <c r="H43" s="527"/>
      <c r="I43" s="532"/>
      <c r="J43" s="536"/>
      <c r="K43" s="530"/>
      <c r="L43" s="531"/>
      <c r="M43" s="495"/>
    </row>
    <row r="44" spans="1:13">
      <c r="A44" s="494" t="s">
        <v>3459</v>
      </c>
      <c r="B44" s="532"/>
      <c r="C44" s="533"/>
      <c r="D44" s="534"/>
      <c r="E44" s="534"/>
      <c r="F44" s="534"/>
      <c r="G44" s="535"/>
      <c r="H44" s="527"/>
      <c r="I44" s="532"/>
      <c r="J44" s="536"/>
      <c r="K44" s="530"/>
      <c r="L44" s="531"/>
      <c r="M44" s="495"/>
    </row>
    <row r="45" spans="1:13">
      <c r="A45" s="494" t="s">
        <v>3459</v>
      </c>
      <c r="B45" s="532"/>
      <c r="C45" s="533"/>
      <c r="D45" s="534"/>
      <c r="E45" s="534"/>
      <c r="F45" s="534"/>
      <c r="G45" s="535"/>
      <c r="H45" s="527"/>
      <c r="I45" s="532"/>
      <c r="J45" s="536"/>
      <c r="K45" s="530"/>
      <c r="L45" s="531"/>
      <c r="M45" s="495"/>
    </row>
    <row r="46" spans="1:13">
      <c r="A46" s="494" t="s">
        <v>3459</v>
      </c>
      <c r="B46" s="532"/>
      <c r="C46" s="533"/>
      <c r="D46" s="534"/>
      <c r="E46" s="534"/>
      <c r="F46" s="534"/>
      <c r="G46" s="535"/>
      <c r="H46" s="527"/>
      <c r="I46" s="532"/>
      <c r="J46" s="536"/>
      <c r="K46" s="530"/>
      <c r="L46" s="531"/>
      <c r="M46" s="495"/>
    </row>
    <row r="47" spans="1:13">
      <c r="A47" s="494" t="s">
        <v>3459</v>
      </c>
      <c r="B47" s="532"/>
      <c r="C47" s="533"/>
      <c r="D47" s="534"/>
      <c r="E47" s="534"/>
      <c r="F47" s="534"/>
      <c r="G47" s="535"/>
      <c r="H47" s="527"/>
      <c r="I47" s="532"/>
      <c r="J47" s="536"/>
      <c r="K47" s="530"/>
      <c r="L47" s="531"/>
      <c r="M47" s="495"/>
    </row>
    <row r="48" spans="1:13">
      <c r="A48" s="494" t="s">
        <v>3459</v>
      </c>
      <c r="B48" s="532"/>
      <c r="C48" s="533"/>
      <c r="D48" s="534"/>
      <c r="E48" s="534"/>
      <c r="F48" s="534"/>
      <c r="G48" s="535"/>
      <c r="H48" s="527"/>
      <c r="I48" s="532"/>
      <c r="J48" s="536"/>
      <c r="K48" s="530"/>
      <c r="L48" s="531"/>
      <c r="M48" s="495"/>
    </row>
    <row r="49" spans="1:13">
      <c r="A49" s="494" t="s">
        <v>3459</v>
      </c>
      <c r="B49" s="532"/>
      <c r="C49" s="533"/>
      <c r="D49" s="534"/>
      <c r="E49" s="534"/>
      <c r="F49" s="534"/>
      <c r="G49" s="535"/>
      <c r="H49" s="527"/>
      <c r="I49" s="532"/>
      <c r="J49" s="536"/>
      <c r="K49" s="530"/>
      <c r="L49" s="531"/>
      <c r="M49" s="495"/>
    </row>
    <row r="50" spans="1:13">
      <c r="A50" s="494" t="s">
        <v>3459</v>
      </c>
      <c r="B50" s="532"/>
      <c r="C50" s="533"/>
      <c r="D50" s="534"/>
      <c r="E50" s="534"/>
      <c r="F50" s="534"/>
      <c r="G50" s="535"/>
      <c r="H50" s="527"/>
      <c r="I50" s="532"/>
      <c r="J50" s="536"/>
      <c r="K50" s="530"/>
      <c r="L50" s="531"/>
      <c r="M50" s="495"/>
    </row>
    <row r="51" spans="1:13">
      <c r="A51" s="494" t="s">
        <v>3459</v>
      </c>
      <c r="B51" s="532"/>
      <c r="C51" s="533"/>
      <c r="D51" s="534"/>
      <c r="E51" s="534"/>
      <c r="F51" s="534"/>
      <c r="G51" s="535"/>
      <c r="H51" s="527"/>
      <c r="I51" s="532"/>
      <c r="J51" s="536"/>
      <c r="K51" s="530"/>
      <c r="L51" s="531"/>
      <c r="M51" s="495"/>
    </row>
    <row r="52" spans="1:13">
      <c r="A52" s="494" t="s">
        <v>3459</v>
      </c>
      <c r="B52" s="532"/>
      <c r="C52" s="533"/>
      <c r="D52" s="534"/>
      <c r="E52" s="534"/>
      <c r="F52" s="534"/>
      <c r="G52" s="535"/>
      <c r="H52" s="527"/>
      <c r="I52" s="532"/>
      <c r="J52" s="536"/>
      <c r="K52" s="530"/>
      <c r="L52" s="531"/>
      <c r="M52" s="495"/>
    </row>
    <row r="53" spans="1:13">
      <c r="A53" s="494" t="s">
        <v>3459</v>
      </c>
      <c r="B53" s="532"/>
      <c r="C53" s="533"/>
      <c r="D53" s="534"/>
      <c r="E53" s="534"/>
      <c r="F53" s="534"/>
      <c r="G53" s="535"/>
      <c r="H53" s="527"/>
      <c r="I53" s="532"/>
      <c r="J53" s="536"/>
      <c r="K53" s="530"/>
      <c r="L53" s="531"/>
      <c r="M53" s="495"/>
    </row>
    <row r="54" spans="1:13">
      <c r="A54" s="494" t="s">
        <v>3459</v>
      </c>
      <c r="B54" s="532"/>
      <c r="C54" s="533"/>
      <c r="D54" s="534"/>
      <c r="E54" s="534"/>
      <c r="F54" s="534"/>
      <c r="G54" s="535"/>
      <c r="H54" s="527"/>
      <c r="I54" s="532"/>
      <c r="J54" s="536"/>
      <c r="K54" s="530"/>
      <c r="L54" s="531"/>
      <c r="M54" s="495"/>
    </row>
    <row r="55" spans="1:13">
      <c r="A55" s="494" t="s">
        <v>3459</v>
      </c>
      <c r="B55" s="532"/>
      <c r="C55" s="533"/>
      <c r="D55" s="534"/>
      <c r="E55" s="534"/>
      <c r="F55" s="534"/>
      <c r="G55" s="535"/>
      <c r="H55" s="527"/>
      <c r="I55" s="532"/>
      <c r="J55" s="536"/>
      <c r="K55" s="530"/>
      <c r="L55" s="531"/>
      <c r="M55" s="495"/>
    </row>
    <row r="56" spans="1:13">
      <c r="A56" s="494" t="s">
        <v>3459</v>
      </c>
      <c r="B56" s="532"/>
      <c r="C56" s="533"/>
      <c r="D56" s="534"/>
      <c r="E56" s="534"/>
      <c r="F56" s="534"/>
      <c r="G56" s="535"/>
      <c r="H56" s="527"/>
      <c r="I56" s="532"/>
      <c r="J56" s="536"/>
      <c r="K56" s="530"/>
      <c r="L56" s="531"/>
      <c r="M56" s="495"/>
    </row>
    <row r="57" spans="1:13">
      <c r="A57" s="494" t="s">
        <v>3459</v>
      </c>
      <c r="B57" s="532"/>
      <c r="C57" s="533"/>
      <c r="D57" s="534"/>
      <c r="E57" s="534"/>
      <c r="F57" s="534"/>
      <c r="G57" s="535"/>
      <c r="H57" s="527"/>
      <c r="I57" s="532"/>
      <c r="J57" s="536"/>
      <c r="K57" s="530"/>
      <c r="L57" s="531"/>
      <c r="M57" s="495"/>
    </row>
    <row r="58" spans="1:13">
      <c r="A58" s="494" t="s">
        <v>3459</v>
      </c>
      <c r="B58" s="532"/>
      <c r="C58" s="533"/>
      <c r="D58" s="534"/>
      <c r="E58" s="534"/>
      <c r="F58" s="534"/>
      <c r="G58" s="535"/>
      <c r="H58" s="527"/>
      <c r="I58" s="532"/>
      <c r="J58" s="536"/>
      <c r="K58" s="530"/>
      <c r="L58" s="531"/>
      <c r="M58" s="495"/>
    </row>
    <row r="59" spans="1:13">
      <c r="A59" s="494" t="s">
        <v>3459</v>
      </c>
      <c r="B59" s="532"/>
      <c r="C59" s="533"/>
      <c r="D59" s="534"/>
      <c r="E59" s="534"/>
      <c r="F59" s="534"/>
      <c r="G59" s="535"/>
      <c r="H59" s="527"/>
      <c r="I59" s="532"/>
      <c r="J59" s="536"/>
      <c r="K59" s="530"/>
      <c r="L59" s="531"/>
      <c r="M59" s="495"/>
    </row>
    <row r="60" spans="1:13">
      <c r="A60" s="494" t="s">
        <v>3459</v>
      </c>
      <c r="B60" s="532"/>
      <c r="C60" s="533"/>
      <c r="D60" s="534"/>
      <c r="E60" s="534"/>
      <c r="F60" s="534"/>
      <c r="G60" s="535"/>
      <c r="H60" s="527"/>
      <c r="I60" s="532"/>
      <c r="J60" s="536"/>
      <c r="K60" s="530"/>
      <c r="L60" s="531"/>
      <c r="M60" s="495"/>
    </row>
    <row r="61" spans="1:13">
      <c r="A61" s="494" t="s">
        <v>3459</v>
      </c>
      <c r="B61" s="532"/>
      <c r="C61" s="533"/>
      <c r="D61" s="534"/>
      <c r="E61" s="534"/>
      <c r="F61" s="534"/>
      <c r="G61" s="535"/>
      <c r="H61" s="527"/>
      <c r="I61" s="532"/>
      <c r="J61" s="536"/>
      <c r="K61" s="530"/>
      <c r="L61" s="531"/>
      <c r="M61" s="495"/>
    </row>
    <row r="62" spans="1:13">
      <c r="A62" s="494" t="s">
        <v>3459</v>
      </c>
      <c r="B62" s="532"/>
      <c r="C62" s="533"/>
      <c r="D62" s="534"/>
      <c r="E62" s="534"/>
      <c r="F62" s="534"/>
      <c r="G62" s="535"/>
      <c r="H62" s="527"/>
      <c r="I62" s="532"/>
      <c r="J62" s="536"/>
      <c r="K62" s="530"/>
      <c r="L62" s="531"/>
      <c r="M62" s="495"/>
    </row>
    <row r="63" spans="1:13">
      <c r="A63" s="494" t="s">
        <v>3459</v>
      </c>
      <c r="B63" s="532"/>
      <c r="C63" s="533"/>
      <c r="D63" s="534"/>
      <c r="E63" s="534"/>
      <c r="F63" s="534"/>
      <c r="G63" s="535"/>
      <c r="H63" s="527"/>
      <c r="I63" s="532"/>
      <c r="J63" s="536"/>
      <c r="K63" s="530"/>
      <c r="L63" s="531"/>
      <c r="M63" s="495"/>
    </row>
    <row r="64" spans="1:13">
      <c r="A64" s="494" t="s">
        <v>3459</v>
      </c>
      <c r="B64" s="532"/>
      <c r="C64" s="533"/>
      <c r="D64" s="534"/>
      <c r="E64" s="534"/>
      <c r="F64" s="534"/>
      <c r="G64" s="535"/>
      <c r="H64" s="527"/>
      <c r="I64" s="532"/>
      <c r="J64" s="536"/>
      <c r="K64" s="530"/>
      <c r="L64" s="531"/>
      <c r="M64" s="495"/>
    </row>
    <row r="65" spans="1:13">
      <c r="A65" s="494" t="s">
        <v>3459</v>
      </c>
      <c r="B65" s="532"/>
      <c r="C65" s="533"/>
      <c r="D65" s="534"/>
      <c r="E65" s="534"/>
      <c r="F65" s="534"/>
      <c r="G65" s="535"/>
      <c r="H65" s="527"/>
      <c r="I65" s="532"/>
      <c r="J65" s="536"/>
      <c r="K65" s="530"/>
      <c r="L65" s="531"/>
      <c r="M65" s="495"/>
    </row>
    <row r="66" spans="1:13">
      <c r="A66" s="494" t="s">
        <v>3459</v>
      </c>
      <c r="B66" s="532"/>
      <c r="C66" s="533"/>
      <c r="D66" s="534"/>
      <c r="E66" s="534"/>
      <c r="F66" s="534"/>
      <c r="G66" s="535"/>
      <c r="H66" s="527"/>
      <c r="I66" s="532"/>
      <c r="J66" s="536"/>
      <c r="K66" s="530"/>
      <c r="L66" s="531"/>
      <c r="M66" s="495"/>
    </row>
    <row r="67" spans="1:13">
      <c r="A67" s="494" t="s">
        <v>3459</v>
      </c>
      <c r="B67" s="532"/>
      <c r="C67" s="533"/>
      <c r="D67" s="534"/>
      <c r="E67" s="534"/>
      <c r="F67" s="534"/>
      <c r="G67" s="535"/>
      <c r="H67" s="527"/>
      <c r="I67" s="532"/>
      <c r="J67" s="536"/>
      <c r="K67" s="530"/>
      <c r="L67" s="531"/>
      <c r="M67" s="495"/>
    </row>
    <row r="68" spans="1:13">
      <c r="A68" s="494" t="s">
        <v>3459</v>
      </c>
      <c r="B68" s="532"/>
      <c r="C68" s="533"/>
      <c r="D68" s="534"/>
      <c r="E68" s="534"/>
      <c r="F68" s="534"/>
      <c r="G68" s="535"/>
      <c r="H68" s="527"/>
      <c r="I68" s="532"/>
      <c r="J68" s="536"/>
      <c r="K68" s="530"/>
      <c r="L68" s="531"/>
      <c r="M68" s="495"/>
    </row>
    <row r="69" spans="1:13">
      <c r="A69" s="494" t="s">
        <v>3459</v>
      </c>
      <c r="B69" s="532"/>
      <c r="C69" s="533"/>
      <c r="D69" s="534"/>
      <c r="E69" s="534"/>
      <c r="F69" s="534"/>
      <c r="G69" s="535"/>
      <c r="H69" s="527"/>
      <c r="I69" s="532"/>
      <c r="J69" s="536"/>
      <c r="K69" s="530"/>
      <c r="L69" s="531"/>
      <c r="M69" s="495"/>
    </row>
    <row r="70" spans="1:13">
      <c r="A70" s="494" t="s">
        <v>3459</v>
      </c>
      <c r="B70" s="532"/>
      <c r="C70" s="533"/>
      <c r="D70" s="534"/>
      <c r="E70" s="534"/>
      <c r="F70" s="534"/>
      <c r="G70" s="535"/>
      <c r="H70" s="519"/>
      <c r="I70" s="532"/>
      <c r="J70" s="536"/>
      <c r="K70" s="530"/>
      <c r="L70" s="531"/>
      <c r="M70" s="495"/>
    </row>
    <row r="71" spans="1:13">
      <c r="A71" s="494" t="s">
        <v>3459</v>
      </c>
      <c r="B71" s="532"/>
      <c r="C71" s="533"/>
      <c r="D71" s="534"/>
      <c r="E71" s="534"/>
      <c r="F71" s="534"/>
      <c r="G71" s="535"/>
      <c r="H71" s="519"/>
      <c r="I71" s="532"/>
      <c r="J71" s="536"/>
      <c r="K71" s="530"/>
      <c r="L71" s="531"/>
      <c r="M71" s="495"/>
    </row>
    <row r="72" spans="1:13">
      <c r="A72" s="494" t="s">
        <v>3459</v>
      </c>
      <c r="B72" s="532"/>
      <c r="C72" s="533"/>
      <c r="D72" s="534"/>
      <c r="E72" s="534"/>
      <c r="F72" s="534"/>
      <c r="G72" s="535"/>
      <c r="H72" s="519"/>
      <c r="I72" s="532"/>
      <c r="J72" s="536"/>
      <c r="K72" s="530"/>
      <c r="L72" s="531"/>
      <c r="M72" s="495"/>
    </row>
    <row r="73" spans="1:13">
      <c r="A73" s="494" t="s">
        <v>3459</v>
      </c>
      <c r="B73" s="532"/>
      <c r="C73" s="533"/>
      <c r="D73" s="534"/>
      <c r="E73" s="534"/>
      <c r="F73" s="534"/>
      <c r="G73" s="535"/>
      <c r="H73" s="519"/>
      <c r="I73" s="532"/>
      <c r="J73" s="536"/>
      <c r="K73" s="530"/>
      <c r="L73" s="531"/>
      <c r="M73" s="495"/>
    </row>
    <row r="74" spans="1:13">
      <c r="A74" s="494" t="s">
        <v>3459</v>
      </c>
      <c r="B74" s="532"/>
      <c r="C74" s="533"/>
      <c r="D74" s="534"/>
      <c r="E74" s="534"/>
      <c r="F74" s="534"/>
      <c r="G74" s="535"/>
      <c r="H74" s="519"/>
      <c r="I74" s="532"/>
      <c r="J74" s="536"/>
      <c r="K74" s="530"/>
      <c r="L74" s="531"/>
      <c r="M74" s="495"/>
    </row>
    <row r="75" spans="1:13">
      <c r="A75" s="494" t="s">
        <v>3459</v>
      </c>
      <c r="B75" s="532"/>
      <c r="C75" s="533"/>
      <c r="D75" s="534"/>
      <c r="E75" s="534"/>
      <c r="F75" s="534"/>
      <c r="G75" s="535"/>
      <c r="H75" s="519"/>
      <c r="I75" s="532"/>
      <c r="J75" s="536"/>
      <c r="K75" s="530"/>
      <c r="L75" s="531"/>
      <c r="M75" s="495"/>
    </row>
    <row r="76" spans="1:13">
      <c r="A76" s="494" t="s">
        <v>3459</v>
      </c>
      <c r="B76" s="532"/>
      <c r="C76" s="533"/>
      <c r="D76" s="534"/>
      <c r="E76" s="534"/>
      <c r="F76" s="534"/>
      <c r="G76" s="535"/>
      <c r="H76" s="519"/>
      <c r="I76" s="532"/>
      <c r="J76" s="536"/>
      <c r="K76" s="530"/>
      <c r="L76" s="531"/>
      <c r="M76" s="495"/>
    </row>
    <row r="77" spans="1:13">
      <c r="A77" s="494" t="s">
        <v>3459</v>
      </c>
      <c r="B77" s="532"/>
      <c r="C77" s="533"/>
      <c r="D77" s="534"/>
      <c r="E77" s="534"/>
      <c r="F77" s="534"/>
      <c r="G77" s="535"/>
      <c r="H77" s="519"/>
      <c r="I77" s="532"/>
      <c r="J77" s="536"/>
      <c r="K77" s="530"/>
      <c r="L77" s="531"/>
      <c r="M77" s="495"/>
    </row>
    <row r="78" spans="1:13">
      <c r="A78" s="494" t="s">
        <v>3459</v>
      </c>
      <c r="B78" s="532"/>
      <c r="C78" s="533"/>
      <c r="D78" s="534"/>
      <c r="E78" s="534"/>
      <c r="F78" s="534"/>
      <c r="G78" s="535"/>
      <c r="H78" s="519"/>
      <c r="I78" s="532"/>
      <c r="J78" s="536"/>
      <c r="K78" s="530"/>
      <c r="L78" s="531"/>
      <c r="M78" s="495"/>
    </row>
    <row r="79" spans="1:13" ht="13.5" thickBot="1">
      <c r="A79" s="494" t="s">
        <v>3459</v>
      </c>
      <c r="B79" s="532"/>
      <c r="C79" s="533"/>
      <c r="D79" s="534"/>
      <c r="E79" s="534"/>
      <c r="F79" s="534"/>
      <c r="G79" s="535"/>
      <c r="H79" s="519"/>
      <c r="I79" s="537"/>
      <c r="J79" s="538"/>
      <c r="K79" s="539"/>
      <c r="L79" s="540"/>
      <c r="M79" s="495"/>
    </row>
    <row r="80" spans="1:13">
      <c r="A80" s="494" t="s">
        <v>3459</v>
      </c>
      <c r="B80" s="532"/>
      <c r="C80" s="533"/>
      <c r="D80" s="534"/>
      <c r="E80" s="534"/>
      <c r="F80" s="534"/>
      <c r="G80" s="535"/>
      <c r="H80" s="519"/>
      <c r="I80" s="541"/>
      <c r="J80" s="541"/>
      <c r="K80" s="541"/>
      <c r="L80" s="541"/>
      <c r="M80" s="495"/>
    </row>
    <row r="81" spans="1:13">
      <c r="A81" s="494" t="s">
        <v>3459</v>
      </c>
      <c r="B81" s="532"/>
      <c r="C81" s="533"/>
      <c r="D81" s="534"/>
      <c r="E81" s="534"/>
      <c r="F81" s="534"/>
      <c r="G81" s="535"/>
      <c r="H81" s="519"/>
      <c r="I81" s="495"/>
      <c r="J81" s="541"/>
      <c r="K81" s="542"/>
      <c r="L81" s="542"/>
      <c r="M81" s="495"/>
    </row>
    <row r="82" spans="1:13" ht="13.5" thickBot="1">
      <c r="A82" s="494" t="s">
        <v>3459</v>
      </c>
      <c r="B82" s="532"/>
      <c r="C82" s="533"/>
      <c r="D82" s="534"/>
      <c r="E82" s="534"/>
      <c r="F82" s="534"/>
      <c r="G82" s="535"/>
      <c r="H82" s="519"/>
      <c r="I82" s="495"/>
      <c r="J82" s="541"/>
      <c r="K82" s="542"/>
      <c r="L82" s="542"/>
      <c r="M82" s="495"/>
    </row>
    <row r="83" spans="1:13">
      <c r="A83" s="494" t="s">
        <v>3459</v>
      </c>
      <c r="B83" s="532"/>
      <c r="C83" s="533"/>
      <c r="D83" s="534"/>
      <c r="E83" s="534"/>
      <c r="F83" s="534"/>
      <c r="G83" s="535"/>
      <c r="H83" s="519"/>
      <c r="I83" s="543" t="s">
        <v>3546</v>
      </c>
      <c r="J83" s="544"/>
      <c r="K83" s="544"/>
      <c r="L83" s="545"/>
      <c r="M83" s="495"/>
    </row>
    <row r="84" spans="1:13" ht="13.5" thickBot="1">
      <c r="A84" s="494" t="s">
        <v>3459</v>
      </c>
      <c r="B84" s="532"/>
      <c r="C84" s="533"/>
      <c r="D84" s="534"/>
      <c r="E84" s="534"/>
      <c r="F84" s="534"/>
      <c r="G84" s="535"/>
      <c r="H84" s="519"/>
      <c r="I84" s="546"/>
      <c r="J84" s="547"/>
      <c r="K84" s="547"/>
      <c r="L84" s="548"/>
      <c r="M84" s="495"/>
    </row>
    <row r="85" spans="1:13">
      <c r="A85" s="494" t="s">
        <v>3459</v>
      </c>
      <c r="B85" s="532"/>
      <c r="C85" s="533"/>
      <c r="D85" s="534"/>
      <c r="E85" s="534"/>
      <c r="F85" s="534"/>
      <c r="G85" s="535"/>
      <c r="H85" s="519"/>
      <c r="I85" s="495"/>
      <c r="J85" s="541"/>
      <c r="K85" s="542"/>
      <c r="L85" s="542"/>
      <c r="M85" s="495"/>
    </row>
    <row r="86" spans="1:13">
      <c r="A86" s="494" t="s">
        <v>3459</v>
      </c>
      <c r="B86" s="532"/>
      <c r="C86" s="533"/>
      <c r="D86" s="534"/>
      <c r="E86" s="534"/>
      <c r="F86" s="534"/>
      <c r="G86" s="535"/>
      <c r="H86" s="519"/>
      <c r="I86" s="495"/>
      <c r="J86" s="541"/>
      <c r="K86" s="542"/>
      <c r="L86" s="542"/>
      <c r="M86" s="495"/>
    </row>
    <row r="87" spans="1:13" ht="12.75" customHeight="1">
      <c r="A87" s="494" t="s">
        <v>3459</v>
      </c>
      <c r="B87" s="532"/>
      <c r="C87" s="533"/>
      <c r="D87" s="534"/>
      <c r="E87" s="534"/>
      <c r="F87" s="534"/>
      <c r="G87" s="535"/>
      <c r="H87" s="519"/>
      <c r="I87" s="495"/>
      <c r="J87" s="541"/>
      <c r="K87" s="542"/>
      <c r="L87" s="542"/>
      <c r="M87" s="495"/>
    </row>
    <row r="88" spans="1:13" ht="12.75" customHeight="1">
      <c r="A88" s="494"/>
      <c r="B88" s="532"/>
      <c r="C88" s="533"/>
      <c r="D88" s="534"/>
      <c r="E88" s="534"/>
      <c r="F88" s="534"/>
      <c r="G88" s="535"/>
      <c r="H88" s="519"/>
      <c r="I88" s="495"/>
      <c r="J88" s="495"/>
      <c r="K88" s="495"/>
      <c r="L88" s="495"/>
      <c r="M88" s="495"/>
    </row>
    <row r="89" spans="1:13" ht="12.75" customHeight="1">
      <c r="A89" s="494"/>
      <c r="B89" s="532"/>
      <c r="C89" s="533"/>
      <c r="D89" s="534"/>
      <c r="E89" s="534"/>
      <c r="F89" s="534"/>
      <c r="G89" s="535"/>
      <c r="H89" s="519"/>
      <c r="I89" s="495"/>
      <c r="J89" s="495"/>
      <c r="K89" s="495"/>
      <c r="L89" s="495"/>
      <c r="M89" s="495"/>
    </row>
    <row r="90" spans="1:13">
      <c r="A90" s="494"/>
      <c r="B90" s="532"/>
      <c r="C90" s="533"/>
      <c r="D90" s="534"/>
      <c r="E90" s="534"/>
      <c r="F90" s="534"/>
      <c r="G90" s="535"/>
      <c r="H90" s="519"/>
      <c r="I90" s="495"/>
      <c r="J90" s="495"/>
      <c r="K90" s="495"/>
      <c r="L90" s="495"/>
      <c r="M90" s="495"/>
    </row>
    <row r="91" spans="1:13">
      <c r="A91" s="494"/>
      <c r="B91" s="532"/>
      <c r="C91" s="533"/>
      <c r="D91" s="534"/>
      <c r="E91" s="534"/>
      <c r="F91" s="534"/>
      <c r="G91" s="535"/>
      <c r="H91" s="519"/>
      <c r="I91" s="495"/>
      <c r="J91" s="495"/>
      <c r="K91" s="495"/>
      <c r="L91" s="495"/>
      <c r="M91" s="495"/>
    </row>
    <row r="92" spans="1:13" ht="13.5" thickBot="1">
      <c r="A92" s="494" t="s">
        <v>3459</v>
      </c>
      <c r="B92" s="537"/>
      <c r="C92" s="549"/>
      <c r="D92" s="550"/>
      <c r="E92" s="550"/>
      <c r="F92" s="550"/>
      <c r="G92" s="551"/>
      <c r="H92" s="519"/>
      <c r="I92" s="495"/>
      <c r="J92" s="495"/>
      <c r="K92" s="495"/>
      <c r="L92" s="495"/>
      <c r="M92" s="495"/>
    </row>
    <row r="93" spans="1:13" ht="13.5" thickBot="1">
      <c r="A93" s="494" t="s">
        <v>3459</v>
      </c>
      <c r="B93" s="494"/>
      <c r="C93" s="552"/>
      <c r="D93" s="552"/>
      <c r="E93" s="552"/>
      <c r="F93" s="552"/>
      <c r="G93" s="552"/>
      <c r="H93" s="519"/>
      <c r="I93" s="495"/>
      <c r="J93" s="495"/>
      <c r="K93" s="495"/>
      <c r="L93" s="495"/>
      <c r="M93" s="495"/>
    </row>
    <row r="94" spans="1:13" ht="20.25">
      <c r="A94" s="494" t="s">
        <v>3459</v>
      </c>
      <c r="B94" s="553"/>
      <c r="C94" s="554"/>
      <c r="D94" s="555" t="s">
        <v>3463</v>
      </c>
      <c r="E94" s="556"/>
      <c r="F94" s="552"/>
      <c r="G94" s="552"/>
      <c r="H94" s="494"/>
      <c r="I94" s="495"/>
      <c r="J94" s="495"/>
      <c r="K94" s="495"/>
      <c r="L94" s="495"/>
      <c r="M94" s="495"/>
    </row>
    <row r="95" spans="1:13" ht="21" thickBot="1">
      <c r="A95" s="494" t="s">
        <v>3459</v>
      </c>
      <c r="B95" s="516"/>
      <c r="C95" s="517"/>
      <c r="D95" s="517"/>
      <c r="E95" s="518"/>
      <c r="F95" s="552"/>
      <c r="G95" s="552"/>
      <c r="H95" s="494"/>
      <c r="I95" s="495"/>
      <c r="J95" s="495"/>
      <c r="K95" s="495"/>
      <c r="L95" s="495"/>
      <c r="M95" s="495"/>
    </row>
    <row r="96" spans="1:13">
      <c r="A96" s="494" t="s">
        <v>3459</v>
      </c>
      <c r="B96" s="523"/>
      <c r="C96" s="557"/>
      <c r="D96" s="558"/>
      <c r="E96" s="559"/>
      <c r="F96" s="552"/>
      <c r="G96" s="552"/>
      <c r="H96" s="494"/>
      <c r="I96" s="495"/>
      <c r="J96" s="495"/>
      <c r="K96" s="495"/>
      <c r="L96" s="495"/>
      <c r="M96" s="495"/>
    </row>
    <row r="97" spans="1:13">
      <c r="A97" s="494" t="s">
        <v>3459</v>
      </c>
      <c r="B97" s="532"/>
      <c r="C97" s="560"/>
      <c r="D97" s="561"/>
      <c r="E97" s="562"/>
      <c r="F97" s="552"/>
      <c r="G97" s="552"/>
      <c r="H97" s="494"/>
      <c r="I97" s="495"/>
      <c r="J97" s="495"/>
      <c r="K97" s="495"/>
      <c r="L97" s="495"/>
      <c r="M97" s="495"/>
    </row>
    <row r="98" spans="1:13">
      <c r="A98" s="494" t="s">
        <v>3459</v>
      </c>
      <c r="B98" s="532"/>
      <c r="C98" s="560"/>
      <c r="D98" s="561"/>
      <c r="E98" s="562"/>
      <c r="F98" s="552"/>
      <c r="G98" s="552"/>
      <c r="H98" s="494"/>
      <c r="I98" s="495"/>
      <c r="J98" s="495"/>
      <c r="K98" s="495"/>
      <c r="L98" s="495"/>
      <c r="M98" s="495"/>
    </row>
    <row r="99" spans="1:13">
      <c r="A99" s="494" t="s">
        <v>3459</v>
      </c>
      <c r="B99" s="532"/>
      <c r="C99" s="560"/>
      <c r="D99" s="561"/>
      <c r="E99" s="562"/>
      <c r="F99" s="552"/>
      <c r="G99" s="552"/>
      <c r="H99" s="494"/>
      <c r="I99" s="495"/>
      <c r="J99" s="495"/>
      <c r="K99" s="495"/>
      <c r="L99" s="495"/>
      <c r="M99" s="495"/>
    </row>
    <row r="100" spans="1:13">
      <c r="A100" s="494" t="s">
        <v>3459</v>
      </c>
      <c r="B100" s="532"/>
      <c r="C100" s="560"/>
      <c r="D100" s="561"/>
      <c r="E100" s="562"/>
      <c r="F100" s="552"/>
      <c r="G100" s="552"/>
      <c r="H100" s="494"/>
      <c r="I100" s="495"/>
      <c r="J100" s="495"/>
      <c r="K100" s="495"/>
      <c r="L100" s="495"/>
      <c r="M100" s="495"/>
    </row>
    <row r="101" spans="1:13">
      <c r="A101" s="494" t="s">
        <v>3459</v>
      </c>
      <c r="B101" s="532"/>
      <c r="C101" s="560"/>
      <c r="D101" s="561"/>
      <c r="E101" s="562"/>
      <c r="F101" s="494"/>
      <c r="G101" s="494"/>
      <c r="H101" s="494"/>
      <c r="I101" s="495"/>
      <c r="J101" s="495"/>
      <c r="K101" s="495"/>
      <c r="L101" s="495"/>
      <c r="M101" s="495"/>
    </row>
    <row r="102" spans="1:13">
      <c r="A102" s="494" t="s">
        <v>3459</v>
      </c>
      <c r="B102" s="532"/>
      <c r="C102" s="560"/>
      <c r="D102" s="561"/>
      <c r="E102" s="562"/>
      <c r="F102" s="494"/>
      <c r="G102" s="494"/>
      <c r="H102" s="494"/>
      <c r="I102" s="495"/>
      <c r="J102" s="495"/>
      <c r="K102" s="495"/>
      <c r="L102" s="495"/>
      <c r="M102" s="495"/>
    </row>
    <row r="103" spans="1:13">
      <c r="A103" s="494" t="s">
        <v>3459</v>
      </c>
      <c r="B103" s="532"/>
      <c r="C103" s="560"/>
      <c r="D103" s="561"/>
      <c r="E103" s="562"/>
      <c r="F103" s="494"/>
      <c r="G103" s="494"/>
      <c r="H103" s="494"/>
      <c r="I103" s="495"/>
      <c r="J103" s="495"/>
      <c r="K103" s="495"/>
      <c r="L103" s="495"/>
      <c r="M103" s="495"/>
    </row>
    <row r="104" spans="1:13">
      <c r="A104" s="494" t="s">
        <v>3459</v>
      </c>
      <c r="B104" s="532"/>
      <c r="C104" s="560"/>
      <c r="D104" s="561"/>
      <c r="E104" s="562"/>
      <c r="F104" s="494"/>
      <c r="G104" s="494"/>
      <c r="H104" s="494"/>
      <c r="I104" s="495"/>
      <c r="J104" s="495"/>
      <c r="K104" s="495"/>
      <c r="L104" s="495"/>
      <c r="M104" s="495"/>
    </row>
    <row r="105" spans="1:13">
      <c r="A105" s="494" t="s">
        <v>3459</v>
      </c>
      <c r="B105" s="532"/>
      <c r="C105" s="560"/>
      <c r="D105" s="561"/>
      <c r="E105" s="562"/>
      <c r="F105" s="494"/>
      <c r="G105" s="494"/>
      <c r="H105" s="494"/>
      <c r="I105" s="495"/>
      <c r="J105" s="495"/>
      <c r="K105" s="495"/>
      <c r="L105" s="495"/>
      <c r="M105" s="495"/>
    </row>
    <row r="106" spans="1:13">
      <c r="A106" s="494" t="s">
        <v>3459</v>
      </c>
      <c r="B106" s="532"/>
      <c r="C106" s="560"/>
      <c r="D106" s="561"/>
      <c r="E106" s="562"/>
      <c r="F106" s="494"/>
      <c r="G106" s="494"/>
      <c r="H106" s="494"/>
      <c r="I106" s="495"/>
      <c r="J106" s="495"/>
      <c r="K106" s="495"/>
      <c r="L106" s="495"/>
      <c r="M106" s="495"/>
    </row>
    <row r="107" spans="1:13">
      <c r="A107" s="494" t="s">
        <v>3459</v>
      </c>
      <c r="B107" s="532"/>
      <c r="C107" s="560"/>
      <c r="D107" s="561"/>
      <c r="E107" s="562"/>
      <c r="F107" s="494"/>
      <c r="G107" s="494"/>
      <c r="H107" s="494"/>
      <c r="I107" s="495"/>
      <c r="J107" s="495"/>
      <c r="K107" s="495"/>
      <c r="L107" s="495"/>
      <c r="M107" s="495"/>
    </row>
    <row r="108" spans="1:13">
      <c r="A108" s="494" t="s">
        <v>3459</v>
      </c>
      <c r="B108" s="532"/>
      <c r="C108" s="560"/>
      <c r="D108" s="561"/>
      <c r="E108" s="562"/>
      <c r="F108" s="494"/>
      <c r="G108" s="494"/>
      <c r="H108" s="494"/>
      <c r="I108" s="495"/>
      <c r="J108" s="495"/>
      <c r="K108" s="495"/>
      <c r="L108" s="495"/>
      <c r="M108" s="495"/>
    </row>
    <row r="109" spans="1:13">
      <c r="A109" s="494" t="s">
        <v>3459</v>
      </c>
      <c r="B109" s="532"/>
      <c r="C109" s="560"/>
      <c r="D109" s="561"/>
      <c r="E109" s="562"/>
      <c r="F109" s="494"/>
      <c r="G109" s="494"/>
      <c r="H109" s="494"/>
      <c r="I109" s="495"/>
      <c r="J109" s="495"/>
      <c r="K109" s="495"/>
      <c r="L109" s="495"/>
      <c r="M109" s="495"/>
    </row>
    <row r="110" spans="1:13">
      <c r="A110" s="494" t="s">
        <v>3459</v>
      </c>
      <c r="B110" s="532"/>
      <c r="C110" s="560"/>
      <c r="D110" s="561"/>
      <c r="E110" s="562"/>
      <c r="F110" s="494"/>
      <c r="G110" s="494"/>
      <c r="H110" s="494"/>
      <c r="I110" s="495"/>
      <c r="J110" s="495"/>
      <c r="K110" s="495"/>
      <c r="L110" s="495"/>
      <c r="M110" s="495"/>
    </row>
    <row r="111" spans="1:13">
      <c r="A111" s="494" t="s">
        <v>3459</v>
      </c>
      <c r="B111" s="532"/>
      <c r="C111" s="560"/>
      <c r="D111" s="561"/>
      <c r="E111" s="562"/>
      <c r="F111" s="494"/>
      <c r="G111" s="494"/>
      <c r="H111" s="494"/>
      <c r="I111" s="495"/>
      <c r="J111" s="495"/>
      <c r="K111" s="495"/>
      <c r="L111" s="495"/>
      <c r="M111" s="495"/>
    </row>
    <row r="112" spans="1:13">
      <c r="A112" s="494" t="s">
        <v>3459</v>
      </c>
      <c r="B112" s="532"/>
      <c r="C112" s="560"/>
      <c r="D112" s="561"/>
      <c r="E112" s="562"/>
      <c r="F112" s="494"/>
      <c r="G112" s="494"/>
      <c r="H112" s="494"/>
      <c r="I112" s="495"/>
      <c r="J112" s="495"/>
      <c r="K112" s="495"/>
      <c r="L112" s="495"/>
      <c r="M112" s="495"/>
    </row>
    <row r="113" spans="1:13">
      <c r="A113" s="494" t="s">
        <v>3459</v>
      </c>
      <c r="B113" s="532"/>
      <c r="C113" s="560"/>
      <c r="D113" s="561"/>
      <c r="E113" s="562"/>
      <c r="F113" s="494"/>
      <c r="G113" s="494"/>
      <c r="H113" s="494"/>
      <c r="I113" s="495"/>
      <c r="J113" s="495"/>
      <c r="K113" s="495"/>
      <c r="L113" s="495"/>
      <c r="M113" s="495"/>
    </row>
    <row r="114" spans="1:13">
      <c r="A114" s="494" t="s">
        <v>3459</v>
      </c>
      <c r="B114" s="532"/>
      <c r="C114" s="560"/>
      <c r="D114" s="561"/>
      <c r="E114" s="562"/>
      <c r="F114" s="494"/>
      <c r="G114" s="494"/>
      <c r="H114" s="494"/>
      <c r="I114" s="495"/>
      <c r="J114" s="495"/>
      <c r="K114" s="495"/>
      <c r="L114" s="495"/>
      <c r="M114" s="495"/>
    </row>
    <row r="115" spans="1:13">
      <c r="A115" s="494" t="s">
        <v>3459</v>
      </c>
      <c r="B115" s="532"/>
      <c r="C115" s="560"/>
      <c r="D115" s="561"/>
      <c r="E115" s="562"/>
      <c r="F115" s="494"/>
      <c r="G115" s="494"/>
      <c r="H115" s="494"/>
      <c r="I115" s="495"/>
      <c r="J115" s="495"/>
      <c r="K115" s="495"/>
      <c r="L115" s="495"/>
      <c r="M115" s="495"/>
    </row>
    <row r="116" spans="1:13">
      <c r="A116" s="494" t="s">
        <v>3459</v>
      </c>
      <c r="B116" s="532"/>
      <c r="C116" s="560"/>
      <c r="D116" s="561"/>
      <c r="E116" s="562"/>
      <c r="F116" s="494"/>
      <c r="G116" s="494"/>
      <c r="H116" s="494"/>
      <c r="I116" s="495"/>
      <c r="J116" s="495"/>
      <c r="K116" s="495"/>
      <c r="L116" s="495"/>
      <c r="M116" s="495"/>
    </row>
    <row r="117" spans="1:13">
      <c r="A117" s="494" t="s">
        <v>3459</v>
      </c>
      <c r="B117" s="532"/>
      <c r="C117" s="560"/>
      <c r="D117" s="561"/>
      <c r="E117" s="562"/>
      <c r="F117" s="494"/>
      <c r="G117" s="494"/>
      <c r="H117" s="494"/>
      <c r="I117" s="495"/>
      <c r="J117" s="495"/>
      <c r="K117" s="495"/>
      <c r="L117" s="495"/>
      <c r="M117" s="495"/>
    </row>
    <row r="118" spans="1:13">
      <c r="A118" s="494" t="s">
        <v>3459</v>
      </c>
      <c r="B118" s="532"/>
      <c r="C118" s="560"/>
      <c r="D118" s="561"/>
      <c r="E118" s="562"/>
      <c r="F118" s="494"/>
      <c r="G118" s="494"/>
      <c r="H118" s="494"/>
      <c r="I118" s="495"/>
      <c r="J118" s="495"/>
      <c r="K118" s="495"/>
      <c r="L118" s="495"/>
      <c r="M118" s="495"/>
    </row>
    <row r="119" spans="1:13">
      <c r="A119" s="494" t="s">
        <v>3459</v>
      </c>
      <c r="B119" s="532"/>
      <c r="C119" s="560"/>
      <c r="D119" s="561"/>
      <c r="E119" s="562"/>
      <c r="F119" s="494"/>
      <c r="G119" s="494"/>
      <c r="H119" s="494"/>
      <c r="I119" s="495"/>
      <c r="J119" s="495"/>
      <c r="K119" s="495"/>
      <c r="L119" s="495"/>
      <c r="M119" s="495"/>
    </row>
    <row r="120" spans="1:13">
      <c r="A120" s="494" t="s">
        <v>3459</v>
      </c>
      <c r="B120" s="532"/>
      <c r="C120" s="560"/>
      <c r="D120" s="561"/>
      <c r="E120" s="562"/>
      <c r="F120" s="494"/>
      <c r="G120" s="494"/>
      <c r="H120" s="494"/>
      <c r="I120" s="495"/>
      <c r="J120" s="495"/>
      <c r="K120" s="495"/>
      <c r="L120" s="495"/>
      <c r="M120" s="495"/>
    </row>
    <row r="121" spans="1:13">
      <c r="A121" s="494" t="s">
        <v>3459</v>
      </c>
      <c r="B121" s="532"/>
      <c r="C121" s="560"/>
      <c r="D121" s="561"/>
      <c r="E121" s="562"/>
      <c r="F121" s="494"/>
      <c r="G121" s="494"/>
      <c r="H121" s="494"/>
      <c r="I121" s="495"/>
      <c r="J121" s="495"/>
      <c r="K121" s="495"/>
      <c r="L121" s="495"/>
      <c r="M121" s="495"/>
    </row>
    <row r="122" spans="1:13">
      <c r="A122" s="494" t="s">
        <v>3459</v>
      </c>
      <c r="B122" s="532"/>
      <c r="C122" s="560"/>
      <c r="D122" s="561"/>
      <c r="E122" s="562"/>
      <c r="F122" s="494"/>
      <c r="G122" s="494"/>
      <c r="H122" s="494"/>
      <c r="I122" s="495"/>
      <c r="J122" s="495"/>
      <c r="K122" s="495"/>
      <c r="L122" s="495"/>
      <c r="M122" s="495"/>
    </row>
    <row r="123" spans="1:13">
      <c r="A123" s="494" t="s">
        <v>3459</v>
      </c>
      <c r="B123" s="532"/>
      <c r="C123" s="560"/>
      <c r="D123" s="561"/>
      <c r="E123" s="562"/>
      <c r="F123" s="494"/>
      <c r="G123" s="494"/>
      <c r="H123" s="494"/>
      <c r="I123" s="495"/>
      <c r="J123" s="495"/>
      <c r="K123" s="495"/>
      <c r="L123" s="495"/>
      <c r="M123" s="495"/>
    </row>
    <row r="124" spans="1:13">
      <c r="A124" s="494" t="s">
        <v>3459</v>
      </c>
      <c r="B124" s="532"/>
      <c r="C124" s="560"/>
      <c r="D124" s="561"/>
      <c r="E124" s="562"/>
      <c r="F124" s="494"/>
      <c r="G124" s="494"/>
      <c r="H124" s="494"/>
      <c r="I124" s="495"/>
      <c r="J124" s="495"/>
      <c r="K124" s="495"/>
      <c r="L124" s="495"/>
      <c r="M124" s="495"/>
    </row>
    <row r="125" spans="1:13">
      <c r="A125" s="494" t="s">
        <v>3459</v>
      </c>
      <c r="B125" s="532"/>
      <c r="C125" s="560"/>
      <c r="D125" s="561"/>
      <c r="E125" s="562"/>
      <c r="F125" s="494"/>
      <c r="G125" s="494"/>
      <c r="H125" s="494"/>
      <c r="I125" s="495"/>
      <c r="J125" s="495"/>
      <c r="K125" s="495"/>
      <c r="L125" s="495"/>
      <c r="M125" s="495"/>
    </row>
    <row r="126" spans="1:13">
      <c r="A126" s="494" t="s">
        <v>3459</v>
      </c>
      <c r="B126" s="532"/>
      <c r="C126" s="560"/>
      <c r="D126" s="561"/>
      <c r="E126" s="562"/>
      <c r="F126" s="494"/>
      <c r="G126" s="494"/>
      <c r="H126" s="494"/>
      <c r="I126" s="495"/>
      <c r="J126" s="495"/>
      <c r="K126" s="495"/>
      <c r="L126" s="495"/>
      <c r="M126" s="495"/>
    </row>
    <row r="127" spans="1:13">
      <c r="A127" s="494" t="s">
        <v>3459</v>
      </c>
      <c r="B127" s="532"/>
      <c r="C127" s="560"/>
      <c r="D127" s="561"/>
      <c r="E127" s="562"/>
      <c r="F127" s="494"/>
      <c r="G127" s="494"/>
      <c r="H127" s="494"/>
      <c r="I127" s="495"/>
      <c r="J127" s="495"/>
      <c r="K127" s="495"/>
      <c r="L127" s="495"/>
      <c r="M127" s="495"/>
    </row>
    <row r="128" spans="1:13">
      <c r="A128" s="494" t="s">
        <v>3459</v>
      </c>
      <c r="B128" s="532"/>
      <c r="C128" s="560"/>
      <c r="D128" s="561"/>
      <c r="E128" s="562"/>
      <c r="F128" s="494"/>
      <c r="G128" s="494"/>
      <c r="H128" s="494"/>
      <c r="I128" s="495"/>
      <c r="J128" s="495"/>
      <c r="K128" s="495"/>
      <c r="L128" s="495"/>
      <c r="M128" s="495"/>
    </row>
    <row r="129" spans="1:13">
      <c r="A129" s="494" t="s">
        <v>3459</v>
      </c>
      <c r="B129" s="532"/>
      <c r="C129" s="560"/>
      <c r="D129" s="561"/>
      <c r="E129" s="562"/>
      <c r="F129" s="494"/>
      <c r="G129" s="494"/>
      <c r="H129" s="494"/>
      <c r="I129" s="495"/>
      <c r="J129" s="495"/>
      <c r="K129" s="495"/>
      <c r="L129" s="495"/>
      <c r="M129" s="495"/>
    </row>
    <row r="130" spans="1:13">
      <c r="A130" s="494" t="s">
        <v>3459</v>
      </c>
      <c r="B130" s="532"/>
      <c r="C130" s="560"/>
      <c r="D130" s="561"/>
      <c r="E130" s="562"/>
      <c r="F130" s="494"/>
      <c r="G130" s="494"/>
      <c r="H130" s="494"/>
      <c r="I130" s="495"/>
      <c r="J130" s="495"/>
      <c r="K130" s="495"/>
      <c r="L130" s="495"/>
      <c r="M130" s="495"/>
    </row>
    <row r="131" spans="1:13">
      <c r="A131" s="494" t="s">
        <v>3459</v>
      </c>
      <c r="B131" s="532"/>
      <c r="C131" s="560"/>
      <c r="D131" s="561"/>
      <c r="E131" s="562"/>
      <c r="F131" s="494"/>
      <c r="G131" s="494"/>
      <c r="H131" s="494"/>
      <c r="I131" s="495"/>
      <c r="J131" s="495"/>
      <c r="K131" s="495"/>
      <c r="L131" s="495"/>
      <c r="M131" s="495"/>
    </row>
    <row r="132" spans="1:13">
      <c r="A132" s="494" t="s">
        <v>3459</v>
      </c>
      <c r="B132" s="532"/>
      <c r="C132" s="560"/>
      <c r="D132" s="561"/>
      <c r="E132" s="562"/>
      <c r="F132" s="494"/>
      <c r="G132" s="494"/>
      <c r="H132" s="494"/>
      <c r="I132" s="495"/>
      <c r="J132" s="495"/>
      <c r="K132" s="495"/>
      <c r="L132" s="495"/>
      <c r="M132" s="495"/>
    </row>
    <row r="133" spans="1:13">
      <c r="A133" s="494" t="s">
        <v>3459</v>
      </c>
      <c r="B133" s="532"/>
      <c r="C133" s="560"/>
      <c r="D133" s="561"/>
      <c r="E133" s="562"/>
      <c r="F133" s="494"/>
      <c r="G133" s="494"/>
      <c r="H133" s="494"/>
      <c r="I133" s="495"/>
      <c r="J133" s="495"/>
      <c r="K133" s="495"/>
      <c r="L133" s="495"/>
      <c r="M133" s="495"/>
    </row>
    <row r="134" spans="1:13">
      <c r="A134" s="494" t="s">
        <v>3459</v>
      </c>
      <c r="B134" s="532"/>
      <c r="C134" s="560"/>
      <c r="D134" s="561"/>
      <c r="E134" s="562"/>
      <c r="F134" s="494"/>
      <c r="G134" s="494"/>
      <c r="H134" s="494"/>
      <c r="I134" s="495"/>
      <c r="J134" s="495"/>
      <c r="K134" s="495"/>
      <c r="L134" s="495"/>
      <c r="M134" s="495"/>
    </row>
    <row r="135" spans="1:13">
      <c r="A135" s="494" t="s">
        <v>3459</v>
      </c>
      <c r="B135" s="532"/>
      <c r="C135" s="560"/>
      <c r="D135" s="561"/>
      <c r="E135" s="562"/>
      <c r="F135" s="494"/>
      <c r="G135" s="494"/>
      <c r="H135" s="494"/>
      <c r="I135" s="495"/>
      <c r="J135" s="495"/>
      <c r="K135" s="495"/>
      <c r="L135" s="495"/>
      <c r="M135" s="495"/>
    </row>
    <row r="136" spans="1:13">
      <c r="A136" s="494" t="s">
        <v>3459</v>
      </c>
      <c r="B136" s="532"/>
      <c r="C136" s="560"/>
      <c r="D136" s="561"/>
      <c r="E136" s="562"/>
      <c r="F136" s="494"/>
      <c r="G136" s="494"/>
      <c r="H136" s="494"/>
      <c r="I136" s="495"/>
      <c r="J136" s="495"/>
      <c r="K136" s="495"/>
      <c r="L136" s="495"/>
      <c r="M136" s="495"/>
    </row>
    <row r="137" spans="1:13">
      <c r="A137" s="494" t="s">
        <v>3459</v>
      </c>
      <c r="B137" s="532"/>
      <c r="C137" s="560"/>
      <c r="D137" s="561"/>
      <c r="E137" s="562"/>
      <c r="F137" s="494"/>
      <c r="G137" s="494"/>
      <c r="H137" s="494"/>
      <c r="I137" s="495"/>
      <c r="J137" s="495"/>
      <c r="K137" s="495"/>
      <c r="L137" s="495"/>
      <c r="M137" s="495"/>
    </row>
    <row r="138" spans="1:13">
      <c r="A138" s="494" t="s">
        <v>3459</v>
      </c>
      <c r="B138" s="532"/>
      <c r="C138" s="560"/>
      <c r="D138" s="561"/>
      <c r="E138" s="562"/>
      <c r="F138" s="494"/>
      <c r="G138" s="494"/>
      <c r="H138" s="494"/>
      <c r="I138" s="495"/>
      <c r="J138" s="495"/>
      <c r="K138" s="495"/>
      <c r="L138" s="495"/>
      <c r="M138" s="495"/>
    </row>
    <row r="139" spans="1:13">
      <c r="A139" s="494" t="s">
        <v>3459</v>
      </c>
      <c r="B139" s="532"/>
      <c r="C139" s="560"/>
      <c r="D139" s="561"/>
      <c r="E139" s="562"/>
      <c r="F139" s="494"/>
      <c r="G139" s="494"/>
      <c r="H139" s="494"/>
      <c r="I139" s="495"/>
      <c r="J139" s="495"/>
      <c r="K139" s="495"/>
      <c r="L139" s="495"/>
      <c r="M139" s="495"/>
    </row>
    <row r="140" spans="1:13">
      <c r="A140" s="494" t="s">
        <v>3459</v>
      </c>
      <c r="B140" s="532"/>
      <c r="C140" s="560"/>
      <c r="D140" s="561"/>
      <c r="E140" s="562"/>
      <c r="F140" s="494"/>
      <c r="G140" s="494"/>
      <c r="H140" s="494"/>
      <c r="I140" s="495"/>
      <c r="J140" s="495"/>
      <c r="K140" s="495"/>
      <c r="L140" s="495"/>
      <c r="M140" s="495"/>
    </row>
    <row r="141" spans="1:13">
      <c r="A141" s="494" t="s">
        <v>3459</v>
      </c>
      <c r="B141" s="532"/>
      <c r="C141" s="560"/>
      <c r="D141" s="561"/>
      <c r="E141" s="562"/>
      <c r="F141" s="494"/>
      <c r="G141" s="494"/>
      <c r="H141" s="494"/>
      <c r="I141" s="495"/>
      <c r="J141" s="495"/>
      <c r="K141" s="495"/>
      <c r="L141" s="495"/>
      <c r="M141" s="495"/>
    </row>
    <row r="142" spans="1:13">
      <c r="A142" s="494" t="s">
        <v>3459</v>
      </c>
      <c r="B142" s="532"/>
      <c r="C142" s="560"/>
      <c r="D142" s="561"/>
      <c r="E142" s="562"/>
      <c r="F142" s="494"/>
      <c r="G142" s="494"/>
      <c r="H142" s="494"/>
      <c r="I142" s="495"/>
      <c r="J142" s="495"/>
      <c r="K142" s="495"/>
      <c r="L142" s="495"/>
      <c r="M142" s="495"/>
    </row>
    <row r="143" spans="1:13">
      <c r="A143" s="494" t="s">
        <v>3459</v>
      </c>
      <c r="B143" s="532"/>
      <c r="C143" s="560"/>
      <c r="D143" s="561"/>
      <c r="E143" s="562"/>
      <c r="F143" s="494"/>
      <c r="G143" s="494"/>
      <c r="H143" s="494"/>
      <c r="I143" s="495"/>
      <c r="J143" s="495"/>
      <c r="K143" s="495"/>
      <c r="L143" s="495"/>
      <c r="M143" s="495"/>
    </row>
    <row r="144" spans="1:13">
      <c r="A144" s="494" t="s">
        <v>3459</v>
      </c>
      <c r="B144" s="532"/>
      <c r="C144" s="560"/>
      <c r="D144" s="561"/>
      <c r="E144" s="562"/>
      <c r="F144" s="494"/>
      <c r="G144" s="494"/>
      <c r="H144" s="494"/>
      <c r="I144" s="495"/>
      <c r="J144" s="495"/>
      <c r="K144" s="495"/>
      <c r="L144" s="495"/>
      <c r="M144" s="495"/>
    </row>
    <row r="145" spans="1:17">
      <c r="A145" s="494" t="s">
        <v>3459</v>
      </c>
      <c r="B145" s="532"/>
      <c r="C145" s="560"/>
      <c r="D145" s="561"/>
      <c r="E145" s="562"/>
      <c r="F145" s="494"/>
      <c r="G145" s="494"/>
      <c r="H145" s="494"/>
      <c r="I145" s="495"/>
      <c r="J145" s="495"/>
      <c r="K145" s="495"/>
      <c r="L145" s="495"/>
      <c r="M145" s="495"/>
    </row>
    <row r="146" spans="1:17">
      <c r="A146" s="494" t="s">
        <v>3459</v>
      </c>
      <c r="B146" s="532"/>
      <c r="C146" s="560"/>
      <c r="D146" s="561"/>
      <c r="E146" s="562"/>
      <c r="F146" s="494"/>
      <c r="G146" s="494"/>
      <c r="H146" s="494" t="s">
        <v>3459</v>
      </c>
      <c r="I146" s="495"/>
      <c r="J146" s="495"/>
      <c r="K146" s="495"/>
      <c r="L146" s="495"/>
      <c r="M146" s="494" t="s">
        <v>3459</v>
      </c>
    </row>
    <row r="147" spans="1:17">
      <c r="A147" s="494" t="s">
        <v>3459</v>
      </c>
      <c r="B147" s="532"/>
      <c r="C147" s="560"/>
      <c r="D147" s="561"/>
      <c r="E147" s="562"/>
      <c r="F147" s="494"/>
      <c r="G147" s="494"/>
      <c r="H147" s="495"/>
      <c r="I147" s="495"/>
      <c r="J147" s="495"/>
      <c r="K147" s="495"/>
      <c r="L147" s="495"/>
      <c r="M147" s="495"/>
    </row>
    <row r="148" spans="1:17">
      <c r="A148" s="494" t="s">
        <v>3459</v>
      </c>
      <c r="B148" s="532"/>
      <c r="C148" s="560"/>
      <c r="D148" s="561"/>
      <c r="E148" s="562"/>
      <c r="F148" s="494"/>
      <c r="G148" s="494"/>
      <c r="H148" s="495"/>
      <c r="I148" s="495"/>
      <c r="J148" s="495"/>
      <c r="K148" s="495"/>
      <c r="L148" s="495"/>
      <c r="M148" s="495"/>
    </row>
    <row r="149" spans="1:17">
      <c r="A149" s="494" t="s">
        <v>3459</v>
      </c>
      <c r="B149" s="532"/>
      <c r="C149" s="560"/>
      <c r="D149" s="561"/>
      <c r="E149" s="562"/>
      <c r="F149" s="494"/>
      <c r="G149" s="494"/>
      <c r="H149" s="495"/>
      <c r="I149" s="495"/>
      <c r="J149" s="495"/>
      <c r="K149" s="495"/>
      <c r="L149" s="495"/>
      <c r="M149" s="495"/>
    </row>
    <row r="150" spans="1:17">
      <c r="A150" s="494" t="s">
        <v>3459</v>
      </c>
      <c r="B150" s="532"/>
      <c r="C150" s="560"/>
      <c r="D150" s="561"/>
      <c r="E150" s="562"/>
      <c r="F150" s="494"/>
      <c r="G150" s="494"/>
      <c r="H150" s="495"/>
      <c r="I150" s="495"/>
      <c r="J150" s="495"/>
      <c r="K150" s="495"/>
      <c r="L150" s="495"/>
      <c r="M150" s="495"/>
    </row>
    <row r="151" spans="1:17" s="349" customFormat="1" ht="13.5" thickBot="1">
      <c r="A151" s="494"/>
      <c r="B151" s="537"/>
      <c r="C151" s="563"/>
      <c r="D151" s="564"/>
      <c r="E151" s="565"/>
      <c r="F151" s="494"/>
      <c r="G151" s="494"/>
      <c r="H151" s="495"/>
      <c r="I151" s="495"/>
      <c r="J151" s="495"/>
      <c r="K151" s="495"/>
      <c r="L151" s="495"/>
      <c r="M151" s="495"/>
      <c r="N151" s="348"/>
      <c r="O151" s="348"/>
      <c r="P151" s="348"/>
      <c r="Q151" s="348"/>
    </row>
    <row r="152" spans="1:17" s="349" customFormat="1">
      <c r="A152" s="494" t="s">
        <v>3459</v>
      </c>
      <c r="B152" s="494" t="s">
        <v>3459</v>
      </c>
      <c r="C152" s="494" t="s">
        <v>3459</v>
      </c>
      <c r="D152" s="494" t="s">
        <v>3459</v>
      </c>
      <c r="E152" s="494" t="s">
        <v>3459</v>
      </c>
      <c r="F152" s="494" t="s">
        <v>3459</v>
      </c>
      <c r="G152" s="494" t="s">
        <v>3459</v>
      </c>
      <c r="H152" s="495"/>
      <c r="I152" s="495"/>
      <c r="J152" s="495"/>
      <c r="K152" s="495"/>
      <c r="L152" s="495"/>
      <c r="M152" s="495"/>
      <c r="N152" s="348"/>
      <c r="O152" s="348"/>
      <c r="P152" s="348"/>
      <c r="Q152" s="348"/>
    </row>
    <row r="153" spans="1:17" s="349" customFormat="1">
      <c r="A153" s="348"/>
      <c r="B153" s="348"/>
      <c r="C153" s="348"/>
      <c r="D153" s="348"/>
      <c r="E153" s="348"/>
      <c r="F153" s="348"/>
      <c r="G153" s="348"/>
      <c r="H153" s="348"/>
      <c r="I153" s="348"/>
      <c r="J153" s="348"/>
      <c r="K153" s="348"/>
      <c r="L153" s="348"/>
      <c r="M153" s="348"/>
      <c r="N153" s="348"/>
      <c r="O153" s="348"/>
      <c r="P153" s="348"/>
      <c r="Q153" s="348"/>
    </row>
    <row r="154" spans="1:17" s="349" customFormat="1">
      <c r="A154" s="348"/>
      <c r="B154" s="348"/>
      <c r="C154" s="348"/>
      <c r="D154" s="348"/>
      <c r="E154" s="348"/>
      <c r="F154" s="348"/>
      <c r="G154" s="348"/>
      <c r="H154" s="348"/>
      <c r="I154" s="348"/>
      <c r="J154" s="348"/>
      <c r="K154" s="348"/>
      <c r="L154" s="348"/>
      <c r="M154" s="348"/>
      <c r="N154" s="348"/>
      <c r="O154" s="348"/>
      <c r="P154" s="348"/>
      <c r="Q154" s="348"/>
    </row>
    <row r="155" spans="1:17" s="349" customFormat="1">
      <c r="I155" s="348"/>
      <c r="J155" s="348"/>
      <c r="K155" s="348"/>
      <c r="L155" s="348"/>
      <c r="M155" s="348"/>
      <c r="N155" s="348"/>
      <c r="O155" s="348"/>
      <c r="P155" s="348"/>
      <c r="Q155" s="348"/>
    </row>
    <row r="156" spans="1:17" s="349" customFormat="1">
      <c r="I156" s="348"/>
      <c r="J156" s="348"/>
      <c r="K156" s="348"/>
      <c r="L156" s="348"/>
      <c r="M156" s="348"/>
      <c r="N156" s="348"/>
      <c r="O156" s="348"/>
      <c r="P156" s="348"/>
      <c r="Q156" s="348"/>
    </row>
    <row r="157" spans="1:17" s="349" customFormat="1">
      <c r="I157" s="348"/>
      <c r="J157" s="348"/>
      <c r="K157" s="348"/>
      <c r="L157" s="348"/>
      <c r="M157" s="348"/>
      <c r="N157" s="348"/>
      <c r="O157" s="348"/>
      <c r="P157" s="348"/>
      <c r="Q157" s="348"/>
    </row>
    <row r="158" spans="1:17" s="349" customFormat="1">
      <c r="I158" s="348"/>
      <c r="J158" s="348"/>
      <c r="K158" s="348"/>
      <c r="L158" s="348"/>
      <c r="M158" s="348"/>
      <c r="N158" s="348"/>
      <c r="O158" s="348"/>
      <c r="P158" s="348"/>
      <c r="Q158" s="348"/>
    </row>
    <row r="159" spans="1:17" s="349" customFormat="1">
      <c r="I159" s="348"/>
      <c r="J159" s="348"/>
      <c r="K159" s="348"/>
      <c r="L159" s="348"/>
      <c r="M159" s="348"/>
      <c r="N159" s="348"/>
      <c r="O159" s="348"/>
      <c r="P159" s="348"/>
      <c r="Q159" s="348"/>
    </row>
    <row r="160" spans="1:17" s="349" customFormat="1">
      <c r="I160" s="348"/>
      <c r="J160" s="348"/>
      <c r="K160" s="348"/>
      <c r="L160" s="348"/>
      <c r="M160" s="348"/>
      <c r="N160" s="348"/>
      <c r="O160" s="348"/>
      <c r="P160" s="348"/>
      <c r="Q160" s="348"/>
    </row>
    <row r="161" spans="9:17" s="349" customFormat="1">
      <c r="I161" s="348"/>
      <c r="J161" s="348"/>
      <c r="K161" s="348"/>
      <c r="L161" s="348"/>
      <c r="M161" s="348"/>
      <c r="N161" s="348"/>
      <c r="O161" s="348"/>
      <c r="P161" s="348"/>
      <c r="Q161" s="348"/>
    </row>
    <row r="162" spans="9:17" s="349" customFormat="1">
      <c r="I162" s="348"/>
      <c r="J162" s="348"/>
      <c r="K162" s="348"/>
      <c r="L162" s="348"/>
      <c r="M162" s="348"/>
      <c r="N162" s="348"/>
      <c r="O162" s="348"/>
      <c r="P162" s="348"/>
      <c r="Q162" s="348"/>
    </row>
    <row r="163" spans="9:17" s="349" customFormat="1">
      <c r="I163" s="348"/>
      <c r="J163" s="348"/>
      <c r="K163" s="348"/>
      <c r="L163" s="348"/>
      <c r="M163" s="348"/>
      <c r="N163" s="348"/>
      <c r="O163" s="348"/>
      <c r="P163" s="348"/>
      <c r="Q163" s="348"/>
    </row>
    <row r="164" spans="9:17" s="349" customFormat="1">
      <c r="I164" s="348"/>
      <c r="J164" s="348"/>
      <c r="K164" s="348"/>
      <c r="L164" s="348"/>
      <c r="M164" s="348"/>
      <c r="N164" s="348"/>
      <c r="O164" s="348"/>
      <c r="P164" s="348"/>
      <c r="Q164" s="348"/>
    </row>
    <row r="165" spans="9:17" s="349" customFormat="1">
      <c r="I165" s="348"/>
      <c r="J165" s="348"/>
      <c r="K165" s="348"/>
      <c r="L165" s="348"/>
      <c r="M165" s="348"/>
      <c r="N165" s="348"/>
      <c r="O165" s="348"/>
      <c r="P165" s="348"/>
      <c r="Q165" s="348"/>
    </row>
    <row r="166" spans="9:17" s="349" customFormat="1">
      <c r="I166" s="348"/>
      <c r="J166" s="348"/>
      <c r="K166" s="348"/>
      <c r="L166" s="348"/>
      <c r="M166" s="348"/>
      <c r="N166" s="348"/>
      <c r="O166" s="348"/>
      <c r="P166" s="348"/>
      <c r="Q166" s="348"/>
    </row>
    <row r="167" spans="9:17" s="349" customFormat="1">
      <c r="I167" s="348"/>
      <c r="J167" s="348"/>
      <c r="K167" s="348"/>
      <c r="L167" s="348"/>
      <c r="M167" s="348"/>
      <c r="N167" s="348"/>
      <c r="O167" s="348"/>
      <c r="P167" s="348"/>
      <c r="Q167" s="348"/>
    </row>
    <row r="168" spans="9:17" s="349" customFormat="1">
      <c r="I168" s="348"/>
      <c r="J168" s="348"/>
      <c r="K168" s="348"/>
      <c r="L168" s="348"/>
      <c r="M168" s="348"/>
      <c r="N168" s="348"/>
      <c r="O168" s="348"/>
      <c r="P168" s="348"/>
      <c r="Q168" s="348"/>
    </row>
    <row r="169" spans="9:17" s="349" customFormat="1">
      <c r="I169" s="348"/>
      <c r="J169" s="348"/>
      <c r="K169" s="348"/>
      <c r="L169" s="348"/>
      <c r="M169" s="348"/>
      <c r="N169" s="348"/>
      <c r="O169" s="348"/>
      <c r="P169" s="348"/>
      <c r="Q169" s="348"/>
    </row>
    <row r="170" spans="9:17" s="349" customFormat="1">
      <c r="I170" s="348"/>
      <c r="J170" s="348"/>
      <c r="K170" s="348"/>
      <c r="L170" s="348"/>
      <c r="M170" s="348"/>
      <c r="N170" s="348"/>
      <c r="O170" s="348"/>
      <c r="P170" s="348"/>
      <c r="Q170" s="348"/>
    </row>
    <row r="171" spans="9:17" s="349" customFormat="1">
      <c r="I171" s="348"/>
      <c r="J171" s="348"/>
      <c r="K171" s="348"/>
      <c r="L171" s="348"/>
      <c r="M171" s="348"/>
      <c r="N171" s="348"/>
      <c r="O171" s="348"/>
      <c r="P171" s="348"/>
      <c r="Q171" s="348"/>
    </row>
    <row r="172" spans="9:17" s="349" customFormat="1">
      <c r="I172" s="348"/>
      <c r="J172" s="348"/>
      <c r="K172" s="348"/>
      <c r="L172" s="348"/>
      <c r="M172" s="348"/>
      <c r="N172" s="348"/>
      <c r="O172" s="348"/>
      <c r="P172" s="348"/>
      <c r="Q172" s="348"/>
    </row>
    <row r="173" spans="9:17" s="349" customFormat="1">
      <c r="I173" s="348"/>
      <c r="J173" s="348"/>
      <c r="K173" s="348"/>
      <c r="L173" s="348"/>
      <c r="M173" s="348"/>
      <c r="N173" s="348"/>
      <c r="O173" s="348"/>
      <c r="P173" s="348"/>
      <c r="Q173" s="348"/>
    </row>
    <row r="174" spans="9:17" s="349" customFormat="1">
      <c r="I174" s="348"/>
      <c r="J174" s="348"/>
      <c r="K174" s="348"/>
      <c r="L174" s="348"/>
      <c r="M174" s="348"/>
      <c r="N174" s="348"/>
      <c r="O174" s="348"/>
      <c r="P174" s="348"/>
      <c r="Q174" s="348"/>
    </row>
    <row r="175" spans="9:17" s="349" customFormat="1">
      <c r="I175" s="348"/>
      <c r="J175" s="348"/>
      <c r="K175" s="348"/>
      <c r="L175" s="348"/>
      <c r="M175" s="348"/>
      <c r="N175" s="348"/>
      <c r="O175" s="348"/>
      <c r="P175" s="348"/>
      <c r="Q175" s="348"/>
    </row>
    <row r="176" spans="9:17" s="349" customFormat="1">
      <c r="I176" s="348"/>
      <c r="J176" s="348"/>
      <c r="K176" s="348"/>
      <c r="L176" s="348"/>
      <c r="M176" s="348"/>
      <c r="N176" s="348"/>
      <c r="O176" s="348"/>
      <c r="P176" s="348"/>
      <c r="Q176" s="348"/>
    </row>
    <row r="177" spans="9:17" s="349" customFormat="1">
      <c r="I177" s="348"/>
      <c r="J177" s="348"/>
      <c r="K177" s="348"/>
      <c r="L177" s="348"/>
      <c r="M177" s="348"/>
      <c r="N177" s="348"/>
      <c r="O177" s="348"/>
      <c r="P177" s="348"/>
      <c r="Q177" s="348"/>
    </row>
    <row r="178" spans="9:17" s="349" customFormat="1">
      <c r="I178" s="348"/>
      <c r="J178" s="348"/>
      <c r="K178" s="348"/>
      <c r="L178" s="348"/>
      <c r="M178" s="348"/>
      <c r="N178" s="348"/>
      <c r="O178" s="348"/>
      <c r="P178" s="348"/>
      <c r="Q178" s="348"/>
    </row>
    <row r="179" spans="9:17" s="349" customFormat="1">
      <c r="I179" s="348"/>
      <c r="J179" s="348"/>
      <c r="K179" s="348"/>
      <c r="L179" s="348"/>
      <c r="M179" s="348"/>
      <c r="N179" s="348"/>
      <c r="O179" s="348"/>
      <c r="P179" s="348"/>
      <c r="Q179" s="348"/>
    </row>
    <row r="180" spans="9:17" s="349" customFormat="1">
      <c r="I180" s="348"/>
      <c r="J180" s="348"/>
      <c r="K180" s="348"/>
      <c r="L180" s="348"/>
      <c r="M180" s="348"/>
      <c r="N180" s="348"/>
      <c r="O180" s="348"/>
      <c r="P180" s="348"/>
      <c r="Q180" s="348"/>
    </row>
    <row r="181" spans="9:17" s="349" customFormat="1">
      <c r="I181" s="348"/>
      <c r="J181" s="348"/>
      <c r="K181" s="348"/>
      <c r="L181" s="348"/>
      <c r="M181" s="348"/>
      <c r="N181" s="348"/>
      <c r="O181" s="348"/>
      <c r="P181" s="348"/>
      <c r="Q181" s="348"/>
    </row>
    <row r="182" spans="9:17" s="349" customFormat="1">
      <c r="I182" s="348"/>
      <c r="J182" s="348"/>
      <c r="K182" s="348"/>
      <c r="L182" s="348"/>
      <c r="M182" s="348"/>
      <c r="N182" s="348"/>
      <c r="O182" s="348"/>
      <c r="P182" s="348"/>
      <c r="Q182" s="348"/>
    </row>
    <row r="183" spans="9:17" s="349" customFormat="1">
      <c r="I183" s="348"/>
      <c r="J183" s="348"/>
      <c r="K183" s="348"/>
      <c r="L183" s="348"/>
      <c r="M183" s="348"/>
      <c r="N183" s="348"/>
      <c r="O183" s="348"/>
      <c r="P183" s="348"/>
      <c r="Q183" s="348"/>
    </row>
    <row r="184" spans="9:17" s="349" customFormat="1">
      <c r="I184" s="348"/>
      <c r="J184" s="348"/>
      <c r="K184" s="348"/>
      <c r="L184" s="348"/>
      <c r="M184" s="348"/>
      <c r="N184" s="348"/>
      <c r="O184" s="348"/>
      <c r="P184" s="348"/>
      <c r="Q184" s="348"/>
    </row>
    <row r="185" spans="9:17" s="349" customFormat="1">
      <c r="I185" s="348"/>
      <c r="J185" s="348"/>
      <c r="K185" s="348"/>
      <c r="L185" s="348"/>
      <c r="M185" s="348"/>
      <c r="N185" s="348"/>
      <c r="O185" s="348"/>
      <c r="P185" s="348"/>
      <c r="Q185" s="348"/>
    </row>
    <row r="186" spans="9:17" s="349" customFormat="1">
      <c r="I186" s="348"/>
      <c r="J186" s="348"/>
      <c r="K186" s="348"/>
      <c r="L186" s="348"/>
      <c r="M186" s="348"/>
      <c r="N186" s="348"/>
      <c r="O186" s="348"/>
      <c r="P186" s="348"/>
      <c r="Q186" s="348"/>
    </row>
    <row r="187" spans="9:17" s="349" customFormat="1">
      <c r="I187" s="348"/>
      <c r="J187" s="348"/>
      <c r="K187" s="348"/>
      <c r="L187" s="348"/>
      <c r="M187" s="348"/>
      <c r="N187" s="348"/>
      <c r="O187" s="348"/>
      <c r="P187" s="348"/>
      <c r="Q187" s="348"/>
    </row>
    <row r="188" spans="9:17" s="349" customFormat="1">
      <c r="I188" s="348"/>
      <c r="J188" s="348"/>
      <c r="K188" s="348"/>
      <c r="L188" s="348"/>
      <c r="M188" s="348"/>
      <c r="N188" s="348"/>
      <c r="O188" s="348"/>
      <c r="P188" s="348"/>
      <c r="Q188" s="348"/>
    </row>
    <row r="189" spans="9:17" s="349" customFormat="1">
      <c r="I189" s="348"/>
      <c r="J189" s="348"/>
      <c r="K189" s="348"/>
      <c r="L189" s="348"/>
      <c r="M189" s="348"/>
      <c r="N189" s="348"/>
      <c r="O189" s="348"/>
      <c r="P189" s="348"/>
      <c r="Q189" s="348"/>
    </row>
    <row r="190" spans="9:17" s="349" customFormat="1">
      <c r="I190" s="348"/>
      <c r="J190" s="348"/>
      <c r="K190" s="348"/>
      <c r="L190" s="348"/>
      <c r="M190" s="348"/>
      <c r="N190" s="348"/>
      <c r="O190" s="348"/>
      <c r="P190" s="348"/>
      <c r="Q190" s="348"/>
    </row>
    <row r="191" spans="9:17" s="349" customFormat="1">
      <c r="I191" s="348"/>
      <c r="J191" s="348"/>
      <c r="K191" s="348"/>
      <c r="L191" s="348"/>
      <c r="M191" s="348"/>
      <c r="N191" s="348"/>
      <c r="O191" s="348"/>
      <c r="P191" s="348"/>
      <c r="Q191" s="348"/>
    </row>
    <row r="192" spans="9:17" s="349" customFormat="1">
      <c r="I192" s="348"/>
      <c r="J192" s="348"/>
      <c r="K192" s="348"/>
      <c r="L192" s="348"/>
      <c r="M192" s="348"/>
      <c r="N192" s="348"/>
      <c r="O192" s="348"/>
      <c r="P192" s="348"/>
      <c r="Q192" s="348"/>
    </row>
    <row r="193" spans="9:17" s="349" customFormat="1">
      <c r="I193" s="348"/>
      <c r="J193" s="348"/>
      <c r="K193" s="348"/>
      <c r="L193" s="348"/>
      <c r="M193" s="348"/>
      <c r="N193" s="348"/>
      <c r="O193" s="348"/>
      <c r="P193" s="348"/>
      <c r="Q193" s="348"/>
    </row>
    <row r="194" spans="9:17" s="349" customFormat="1">
      <c r="I194" s="348"/>
      <c r="J194" s="348"/>
      <c r="K194" s="348"/>
      <c r="L194" s="348"/>
      <c r="M194" s="348"/>
      <c r="N194" s="348"/>
      <c r="O194" s="348"/>
      <c r="P194" s="348"/>
      <c r="Q194" s="348"/>
    </row>
    <row r="195" spans="9:17" s="349" customFormat="1">
      <c r="I195" s="348"/>
      <c r="J195" s="348"/>
      <c r="K195" s="348"/>
      <c r="L195" s="348"/>
      <c r="M195" s="348"/>
      <c r="N195" s="348"/>
      <c r="O195" s="348"/>
      <c r="P195" s="348"/>
      <c r="Q195" s="348"/>
    </row>
    <row r="196" spans="9:17" s="349" customFormat="1">
      <c r="I196" s="348"/>
      <c r="J196" s="348"/>
      <c r="K196" s="348"/>
      <c r="L196" s="348"/>
      <c r="M196" s="348"/>
      <c r="N196" s="348"/>
      <c r="O196" s="348"/>
      <c r="P196" s="348"/>
      <c r="Q196" s="348"/>
    </row>
    <row r="197" spans="9:17" s="349" customFormat="1">
      <c r="I197" s="348"/>
      <c r="J197" s="348"/>
      <c r="K197" s="348"/>
      <c r="L197" s="348"/>
      <c r="M197" s="348"/>
      <c r="N197" s="348"/>
      <c r="O197" s="348"/>
      <c r="P197" s="348"/>
      <c r="Q197" s="348"/>
    </row>
    <row r="198" spans="9:17" s="349" customFormat="1">
      <c r="I198" s="348"/>
      <c r="J198" s="348"/>
      <c r="K198" s="348"/>
      <c r="L198" s="348"/>
      <c r="M198" s="348"/>
      <c r="N198" s="348"/>
      <c r="O198" s="348"/>
      <c r="P198" s="348"/>
      <c r="Q198" s="348"/>
    </row>
    <row r="199" spans="9:17" s="349" customFormat="1">
      <c r="I199" s="348"/>
      <c r="J199" s="348"/>
      <c r="K199" s="348"/>
      <c r="L199" s="348"/>
      <c r="M199" s="348"/>
      <c r="N199" s="348"/>
      <c r="O199" s="348"/>
      <c r="P199" s="348"/>
      <c r="Q199" s="348"/>
    </row>
    <row r="200" spans="9:17" s="349" customFormat="1">
      <c r="I200" s="348"/>
      <c r="J200" s="348"/>
      <c r="K200" s="348"/>
      <c r="L200" s="348"/>
      <c r="M200" s="348"/>
      <c r="N200" s="348"/>
      <c r="O200" s="348"/>
      <c r="P200" s="348"/>
      <c r="Q200" s="348"/>
    </row>
    <row r="201" spans="9:17" s="349" customFormat="1">
      <c r="I201" s="348"/>
      <c r="J201" s="348"/>
      <c r="K201" s="348"/>
      <c r="L201" s="348"/>
      <c r="M201" s="348"/>
      <c r="N201" s="348"/>
      <c r="O201" s="348"/>
      <c r="P201" s="348"/>
      <c r="Q201" s="348"/>
    </row>
    <row r="202" spans="9:17" s="349" customFormat="1">
      <c r="I202" s="348"/>
      <c r="J202" s="348"/>
      <c r="K202" s="348"/>
      <c r="L202" s="348"/>
      <c r="M202" s="348"/>
      <c r="N202" s="348"/>
      <c r="O202" s="348"/>
      <c r="P202" s="348"/>
      <c r="Q202" s="348"/>
    </row>
    <row r="203" spans="9:17" s="349" customFormat="1">
      <c r="I203" s="348"/>
      <c r="J203" s="348"/>
      <c r="K203" s="348"/>
      <c r="L203" s="348"/>
      <c r="M203" s="348"/>
      <c r="N203" s="348"/>
      <c r="O203" s="348"/>
      <c r="P203" s="348"/>
      <c r="Q203" s="348"/>
    </row>
    <row r="204" spans="9:17" s="349" customFormat="1">
      <c r="I204" s="348"/>
      <c r="J204" s="348"/>
      <c r="K204" s="348"/>
      <c r="L204" s="348"/>
      <c r="M204" s="348"/>
      <c r="N204" s="348"/>
      <c r="O204" s="348"/>
      <c r="P204" s="348"/>
      <c r="Q204" s="348"/>
    </row>
    <row r="205" spans="9:17" s="349" customFormat="1">
      <c r="I205" s="348"/>
      <c r="J205" s="348"/>
      <c r="K205" s="348"/>
      <c r="L205" s="348"/>
      <c r="M205" s="348"/>
      <c r="N205" s="348"/>
      <c r="O205" s="348"/>
      <c r="P205" s="348"/>
      <c r="Q205" s="348"/>
    </row>
    <row r="206" spans="9:17" s="349" customFormat="1">
      <c r="I206" s="348"/>
      <c r="J206" s="348"/>
      <c r="K206" s="348"/>
      <c r="L206" s="348"/>
      <c r="M206" s="348"/>
      <c r="N206" s="348"/>
      <c r="O206" s="348"/>
      <c r="P206" s="348"/>
      <c r="Q206" s="348"/>
    </row>
    <row r="207" spans="9:17" s="349" customFormat="1">
      <c r="I207" s="348"/>
      <c r="J207" s="348"/>
      <c r="K207" s="348"/>
      <c r="L207" s="348"/>
      <c r="M207" s="348"/>
      <c r="N207" s="348"/>
      <c r="O207" s="348"/>
      <c r="P207" s="348"/>
      <c r="Q207" s="348"/>
    </row>
    <row r="208" spans="9:17" s="349" customFormat="1">
      <c r="I208" s="348"/>
      <c r="J208" s="348"/>
      <c r="K208" s="348"/>
      <c r="L208" s="348"/>
      <c r="M208" s="348"/>
      <c r="N208" s="348"/>
      <c r="O208" s="348"/>
      <c r="P208" s="348"/>
      <c r="Q208" s="348"/>
    </row>
    <row r="209" spans="9:17" s="349" customFormat="1">
      <c r="I209" s="348"/>
      <c r="J209" s="348"/>
      <c r="K209" s="348"/>
      <c r="L209" s="348"/>
      <c r="M209" s="348"/>
      <c r="N209" s="348"/>
      <c r="O209" s="348"/>
      <c r="P209" s="348"/>
      <c r="Q209" s="348"/>
    </row>
    <row r="210" spans="9:17" s="349" customFormat="1">
      <c r="I210" s="348"/>
      <c r="J210" s="348"/>
      <c r="K210" s="348"/>
      <c r="L210" s="348"/>
      <c r="M210" s="348"/>
      <c r="N210" s="348"/>
      <c r="O210" s="348"/>
      <c r="P210" s="348"/>
      <c r="Q210" s="348"/>
    </row>
    <row r="211" spans="9:17" s="349" customFormat="1">
      <c r="I211" s="348"/>
      <c r="J211" s="348"/>
      <c r="K211" s="348"/>
      <c r="L211" s="348"/>
      <c r="M211" s="348"/>
      <c r="N211" s="348"/>
      <c r="O211" s="348"/>
      <c r="P211" s="348"/>
      <c r="Q211" s="348"/>
    </row>
    <row r="212" spans="9:17" s="349" customFormat="1">
      <c r="I212" s="348"/>
      <c r="J212" s="348"/>
      <c r="K212" s="348"/>
      <c r="L212" s="348"/>
      <c r="M212" s="348"/>
      <c r="N212" s="348"/>
      <c r="O212" s="348"/>
      <c r="P212" s="348"/>
      <c r="Q212" s="348"/>
    </row>
    <row r="213" spans="9:17" s="349" customFormat="1">
      <c r="I213" s="348"/>
      <c r="J213" s="348"/>
      <c r="K213" s="348"/>
      <c r="L213" s="348"/>
      <c r="M213" s="348"/>
      <c r="N213" s="348"/>
      <c r="O213" s="348"/>
      <c r="P213" s="348"/>
      <c r="Q213" s="348"/>
    </row>
    <row r="214" spans="9:17" s="349" customFormat="1">
      <c r="I214" s="348"/>
      <c r="J214" s="348"/>
      <c r="K214" s="348"/>
      <c r="L214" s="348"/>
      <c r="M214" s="348"/>
      <c r="N214" s="348"/>
      <c r="O214" s="348"/>
      <c r="P214" s="348"/>
      <c r="Q214" s="348"/>
    </row>
    <row r="215" spans="9:17" s="349" customFormat="1">
      <c r="I215" s="348"/>
      <c r="J215" s="348"/>
      <c r="K215" s="348"/>
      <c r="L215" s="348"/>
      <c r="M215" s="348"/>
      <c r="N215" s="348"/>
      <c r="O215" s="348"/>
      <c r="P215" s="348"/>
      <c r="Q215" s="348"/>
    </row>
    <row r="216" spans="9:17" s="349" customFormat="1">
      <c r="I216" s="348"/>
      <c r="J216" s="348"/>
      <c r="K216" s="348"/>
      <c r="L216" s="348"/>
      <c r="M216" s="348"/>
      <c r="N216" s="348"/>
      <c r="O216" s="348"/>
      <c r="P216" s="348"/>
      <c r="Q216" s="348"/>
    </row>
    <row r="217" spans="9:17" s="349" customFormat="1">
      <c r="I217" s="348"/>
      <c r="J217" s="348"/>
      <c r="K217" s="348"/>
      <c r="L217" s="348"/>
      <c r="M217" s="348"/>
      <c r="N217" s="348"/>
      <c r="O217" s="348"/>
      <c r="P217" s="348"/>
      <c r="Q217" s="348"/>
    </row>
    <row r="218" spans="9:17" s="349" customFormat="1">
      <c r="I218" s="348"/>
      <c r="J218" s="348"/>
      <c r="K218" s="348"/>
      <c r="L218" s="348"/>
      <c r="M218" s="348"/>
      <c r="N218" s="348"/>
      <c r="O218" s="348"/>
      <c r="P218" s="348"/>
      <c r="Q218" s="348"/>
    </row>
    <row r="219" spans="9:17" s="349" customFormat="1">
      <c r="I219" s="348"/>
      <c r="J219" s="348"/>
      <c r="K219" s="348"/>
      <c r="L219" s="348"/>
      <c r="M219" s="348"/>
      <c r="N219" s="348"/>
      <c r="O219" s="348"/>
      <c r="P219" s="348"/>
      <c r="Q219" s="348"/>
    </row>
    <row r="220" spans="9:17" s="349" customFormat="1">
      <c r="I220" s="348"/>
      <c r="J220" s="348"/>
      <c r="K220" s="348"/>
      <c r="L220" s="348"/>
      <c r="M220" s="348"/>
      <c r="N220" s="348"/>
      <c r="O220" s="348"/>
      <c r="P220" s="348"/>
      <c r="Q220" s="348"/>
    </row>
    <row r="221" spans="9:17" s="349" customFormat="1">
      <c r="I221" s="348"/>
      <c r="J221" s="348"/>
      <c r="K221" s="348"/>
      <c r="L221" s="348"/>
      <c r="M221" s="348"/>
      <c r="N221" s="348"/>
      <c r="O221" s="348"/>
      <c r="P221" s="348"/>
      <c r="Q221" s="348"/>
    </row>
    <row r="222" spans="9:17" s="349" customFormat="1">
      <c r="I222" s="348"/>
      <c r="J222" s="348"/>
      <c r="K222" s="348"/>
      <c r="L222" s="348"/>
      <c r="M222" s="348"/>
      <c r="N222" s="348"/>
      <c r="O222" s="348"/>
      <c r="P222" s="348"/>
      <c r="Q222" s="348"/>
    </row>
    <row r="223" spans="9:17" s="349" customFormat="1">
      <c r="I223" s="348"/>
      <c r="J223" s="348"/>
      <c r="K223" s="348"/>
      <c r="L223" s="348"/>
      <c r="M223" s="348"/>
      <c r="N223" s="348"/>
      <c r="O223" s="348"/>
      <c r="P223" s="348"/>
      <c r="Q223" s="348"/>
    </row>
    <row r="224" spans="9:17" s="349" customFormat="1">
      <c r="I224" s="348"/>
      <c r="J224" s="348"/>
      <c r="K224" s="348"/>
      <c r="L224" s="348"/>
      <c r="M224" s="348"/>
      <c r="N224" s="348"/>
      <c r="O224" s="348"/>
      <c r="P224" s="348"/>
      <c r="Q224" s="348"/>
    </row>
    <row r="225" spans="9:17" s="349" customFormat="1">
      <c r="I225" s="348"/>
      <c r="J225" s="348"/>
      <c r="K225" s="348"/>
      <c r="L225" s="348"/>
      <c r="M225" s="348"/>
      <c r="N225" s="348"/>
      <c r="O225" s="348"/>
      <c r="P225" s="348"/>
      <c r="Q225" s="348"/>
    </row>
    <row r="226" spans="9:17" s="349" customFormat="1">
      <c r="I226" s="348"/>
      <c r="J226" s="348"/>
      <c r="K226" s="348"/>
      <c r="L226" s="348"/>
      <c r="M226" s="348"/>
      <c r="N226" s="348"/>
      <c r="O226" s="348"/>
      <c r="P226" s="348"/>
      <c r="Q226" s="348"/>
    </row>
    <row r="227" spans="9:17" s="349" customFormat="1">
      <c r="I227" s="348"/>
      <c r="J227" s="348"/>
      <c r="K227" s="348"/>
      <c r="L227" s="348"/>
      <c r="M227" s="348"/>
      <c r="N227" s="348"/>
      <c r="O227" s="348"/>
      <c r="P227" s="348"/>
      <c r="Q227" s="348"/>
    </row>
    <row r="228" spans="9:17" s="349" customFormat="1">
      <c r="I228" s="348"/>
      <c r="J228" s="348"/>
      <c r="K228" s="348"/>
      <c r="L228" s="348"/>
      <c r="M228" s="348"/>
      <c r="N228" s="348"/>
      <c r="O228" s="348"/>
      <c r="P228" s="348"/>
      <c r="Q228" s="348"/>
    </row>
    <row r="229" spans="9:17" s="349" customFormat="1">
      <c r="I229" s="348"/>
      <c r="J229" s="348"/>
      <c r="K229" s="348"/>
      <c r="L229" s="348"/>
      <c r="M229" s="348"/>
      <c r="N229" s="348"/>
      <c r="O229" s="348"/>
      <c r="P229" s="348"/>
      <c r="Q229" s="348"/>
    </row>
    <row r="230" spans="9:17" s="349" customFormat="1">
      <c r="I230" s="348"/>
      <c r="J230" s="348"/>
      <c r="K230" s="348"/>
      <c r="L230" s="348"/>
      <c r="M230" s="348"/>
      <c r="N230" s="348"/>
      <c r="O230" s="348"/>
      <c r="P230" s="348"/>
      <c r="Q230" s="348"/>
    </row>
    <row r="231" spans="9:17" s="349" customFormat="1">
      <c r="I231" s="348"/>
      <c r="J231" s="348"/>
      <c r="K231" s="348"/>
      <c r="L231" s="348"/>
      <c r="M231" s="348"/>
      <c r="N231" s="348"/>
      <c r="O231" s="348"/>
      <c r="P231" s="348"/>
      <c r="Q231" s="348"/>
    </row>
    <row r="232" spans="9:17" s="349" customFormat="1">
      <c r="I232" s="348"/>
      <c r="J232" s="348"/>
      <c r="K232" s="348"/>
      <c r="L232" s="348"/>
      <c r="M232" s="348"/>
      <c r="N232" s="348"/>
      <c r="O232" s="348"/>
      <c r="P232" s="348"/>
      <c r="Q232" s="348"/>
    </row>
    <row r="233" spans="9:17" s="349" customFormat="1">
      <c r="I233" s="348"/>
      <c r="J233" s="348"/>
      <c r="K233" s="348"/>
      <c r="L233" s="348"/>
      <c r="M233" s="348"/>
      <c r="N233" s="348"/>
      <c r="O233" s="348"/>
      <c r="P233" s="348"/>
      <c r="Q233" s="348"/>
    </row>
    <row r="234" spans="9:17" s="349" customFormat="1">
      <c r="I234" s="348"/>
      <c r="J234" s="348"/>
      <c r="K234" s="348"/>
      <c r="L234" s="348"/>
      <c r="M234" s="348"/>
      <c r="N234" s="348"/>
      <c r="O234" s="348"/>
      <c r="P234" s="348"/>
      <c r="Q234" s="348"/>
    </row>
    <row r="235" spans="9:17" s="349" customFormat="1">
      <c r="I235" s="348"/>
      <c r="J235" s="348"/>
      <c r="K235" s="348"/>
      <c r="L235" s="348"/>
      <c r="M235" s="348"/>
      <c r="N235" s="348"/>
      <c r="O235" s="348"/>
      <c r="P235" s="348"/>
      <c r="Q235" s="348"/>
    </row>
    <row r="236" spans="9:17" s="349" customFormat="1">
      <c r="I236" s="348"/>
      <c r="J236" s="348"/>
      <c r="K236" s="348"/>
      <c r="L236" s="348"/>
      <c r="M236" s="348"/>
      <c r="N236" s="348"/>
      <c r="O236" s="348"/>
      <c r="P236" s="348"/>
      <c r="Q236" s="348"/>
    </row>
    <row r="237" spans="9:17" s="349" customFormat="1">
      <c r="I237" s="348"/>
      <c r="J237" s="348"/>
      <c r="K237" s="348"/>
      <c r="L237" s="348"/>
      <c r="M237" s="348"/>
      <c r="N237" s="348"/>
      <c r="O237" s="348"/>
      <c r="P237" s="348"/>
      <c r="Q237" s="348"/>
    </row>
    <row r="238" spans="9:17" s="349" customFormat="1">
      <c r="I238" s="348"/>
      <c r="J238" s="348"/>
      <c r="K238" s="348"/>
      <c r="L238" s="348"/>
      <c r="M238" s="348"/>
      <c r="N238" s="348"/>
      <c r="O238" s="348"/>
      <c r="P238" s="348"/>
      <c r="Q238" s="348"/>
    </row>
    <row r="239" spans="9:17" s="349" customFormat="1">
      <c r="I239" s="348"/>
      <c r="J239" s="348"/>
      <c r="K239" s="348"/>
      <c r="L239" s="348"/>
      <c r="M239" s="348"/>
      <c r="N239" s="348"/>
      <c r="O239" s="348"/>
      <c r="P239" s="348"/>
      <c r="Q239" s="348"/>
    </row>
    <row r="240" spans="9:17" s="349" customFormat="1">
      <c r="I240" s="348"/>
      <c r="J240" s="348"/>
      <c r="K240" s="348"/>
      <c r="L240" s="348"/>
      <c r="M240" s="348"/>
      <c r="N240" s="348"/>
      <c r="O240" s="348"/>
      <c r="P240" s="348"/>
      <c r="Q240" s="348"/>
    </row>
    <row r="241" spans="9:17" s="349" customFormat="1">
      <c r="I241" s="348"/>
      <c r="J241" s="348"/>
      <c r="K241" s="348"/>
      <c r="L241" s="348"/>
      <c r="M241" s="348"/>
      <c r="N241" s="348"/>
      <c r="O241" s="348"/>
      <c r="P241" s="348"/>
      <c r="Q241" s="348"/>
    </row>
    <row r="242" spans="9:17" s="349" customFormat="1">
      <c r="I242" s="348"/>
      <c r="J242" s="348"/>
      <c r="K242" s="348"/>
      <c r="L242" s="348"/>
      <c r="M242" s="348"/>
      <c r="N242" s="348"/>
      <c r="O242" s="348"/>
      <c r="P242" s="348"/>
      <c r="Q242" s="348"/>
    </row>
    <row r="243" spans="9:17" s="349" customFormat="1">
      <c r="I243" s="348"/>
      <c r="J243" s="348"/>
      <c r="K243" s="348"/>
      <c r="L243" s="348"/>
      <c r="M243" s="348"/>
      <c r="N243" s="348"/>
      <c r="O243" s="348"/>
      <c r="P243" s="348"/>
      <c r="Q243" s="348"/>
    </row>
    <row r="244" spans="9:17" s="349" customFormat="1">
      <c r="I244" s="348"/>
      <c r="J244" s="348"/>
      <c r="K244" s="348"/>
      <c r="L244" s="348"/>
      <c r="M244" s="348"/>
      <c r="N244" s="348"/>
      <c r="O244" s="348"/>
      <c r="P244" s="348"/>
      <c r="Q244" s="348"/>
    </row>
    <row r="245" spans="9:17" s="349" customFormat="1">
      <c r="I245" s="348"/>
      <c r="J245" s="348"/>
      <c r="K245" s="348"/>
      <c r="L245" s="348"/>
      <c r="M245" s="348"/>
      <c r="N245" s="348"/>
      <c r="O245" s="348"/>
      <c r="P245" s="348"/>
      <c r="Q245" s="348"/>
    </row>
    <row r="246" spans="9:17" s="349" customFormat="1">
      <c r="I246" s="348"/>
      <c r="J246" s="348"/>
      <c r="K246" s="348"/>
      <c r="L246" s="348"/>
      <c r="M246" s="348"/>
      <c r="N246" s="348"/>
      <c r="O246" s="348"/>
      <c r="P246" s="348"/>
      <c r="Q246" s="348"/>
    </row>
    <row r="247" spans="9:17" s="349" customFormat="1">
      <c r="I247" s="348"/>
      <c r="J247" s="348"/>
      <c r="K247" s="348"/>
      <c r="L247" s="348"/>
      <c r="M247" s="348"/>
      <c r="N247" s="348"/>
      <c r="O247" s="348"/>
      <c r="P247" s="348"/>
      <c r="Q247" s="348"/>
    </row>
    <row r="248" spans="9:17" s="349" customFormat="1">
      <c r="I248" s="348"/>
      <c r="J248" s="348"/>
      <c r="K248" s="348"/>
      <c r="L248" s="348"/>
      <c r="M248" s="348"/>
      <c r="N248" s="348"/>
      <c r="O248" s="348"/>
      <c r="P248" s="348"/>
      <c r="Q248" s="348"/>
    </row>
    <row r="249" spans="9:17" s="349" customFormat="1">
      <c r="I249" s="348"/>
      <c r="J249" s="348"/>
      <c r="K249" s="348"/>
      <c r="L249" s="348"/>
      <c r="M249" s="348"/>
      <c r="N249" s="348"/>
      <c r="O249" s="348"/>
      <c r="P249" s="348"/>
      <c r="Q249" s="348"/>
    </row>
    <row r="250" spans="9:17" s="349" customFormat="1">
      <c r="I250" s="348"/>
      <c r="J250" s="348"/>
      <c r="K250" s="348"/>
      <c r="L250" s="348"/>
      <c r="M250" s="348"/>
      <c r="N250" s="348"/>
      <c r="O250" s="348"/>
      <c r="P250" s="348"/>
      <c r="Q250" s="348"/>
    </row>
    <row r="251" spans="9:17" s="349" customFormat="1">
      <c r="I251" s="348"/>
      <c r="J251" s="348"/>
      <c r="K251" s="348"/>
      <c r="L251" s="348"/>
      <c r="M251" s="348"/>
      <c r="N251" s="348"/>
      <c r="O251" s="348"/>
      <c r="P251" s="348"/>
      <c r="Q251" s="348"/>
    </row>
    <row r="252" spans="9:17" s="349" customFormat="1">
      <c r="I252" s="348"/>
      <c r="J252" s="348"/>
      <c r="K252" s="348"/>
      <c r="L252" s="348"/>
      <c r="M252" s="348"/>
      <c r="N252" s="348"/>
      <c r="O252" s="348"/>
      <c r="P252" s="348"/>
      <c r="Q252" s="348"/>
    </row>
    <row r="253" spans="9:17" s="349" customFormat="1">
      <c r="I253" s="348"/>
      <c r="J253" s="348"/>
      <c r="K253" s="348"/>
      <c r="L253" s="348"/>
      <c r="M253" s="348"/>
      <c r="N253" s="348"/>
      <c r="O253" s="348"/>
      <c r="P253" s="348"/>
      <c r="Q253" s="348"/>
    </row>
    <row r="254" spans="9:17" s="349" customFormat="1">
      <c r="I254" s="348"/>
      <c r="J254" s="348"/>
      <c r="K254" s="348"/>
      <c r="L254" s="348"/>
      <c r="M254" s="348"/>
      <c r="N254" s="348"/>
      <c r="O254" s="348"/>
      <c r="P254" s="348"/>
      <c r="Q254" s="348"/>
    </row>
    <row r="255" spans="9:17" s="349" customFormat="1">
      <c r="I255" s="348"/>
      <c r="J255" s="348"/>
      <c r="K255" s="348"/>
      <c r="L255" s="348"/>
      <c r="M255" s="348"/>
      <c r="N255" s="348"/>
      <c r="O255" s="348"/>
      <c r="P255" s="348"/>
      <c r="Q255" s="348"/>
    </row>
    <row r="256" spans="9:17" s="349" customFormat="1">
      <c r="I256" s="348"/>
      <c r="J256" s="348"/>
      <c r="K256" s="348"/>
      <c r="L256" s="348"/>
      <c r="M256" s="348"/>
      <c r="N256" s="348"/>
      <c r="O256" s="348"/>
      <c r="P256" s="348"/>
      <c r="Q256" s="348"/>
    </row>
    <row r="257" spans="9:17" s="349" customFormat="1">
      <c r="I257" s="348"/>
      <c r="J257" s="348"/>
      <c r="K257" s="348"/>
      <c r="L257" s="348"/>
      <c r="M257" s="348"/>
      <c r="N257" s="348"/>
      <c r="O257" s="348"/>
      <c r="P257" s="348"/>
      <c r="Q257" s="348"/>
    </row>
    <row r="258" spans="9:17" s="349" customFormat="1">
      <c r="I258" s="348"/>
      <c r="J258" s="348"/>
      <c r="K258" s="348"/>
      <c r="L258" s="348"/>
      <c r="M258" s="348"/>
      <c r="N258" s="348"/>
      <c r="O258" s="348"/>
      <c r="P258" s="348"/>
      <c r="Q258" s="348"/>
    </row>
    <row r="259" spans="9:17" s="349" customFormat="1">
      <c r="I259" s="348"/>
      <c r="J259" s="348"/>
      <c r="K259" s="348"/>
      <c r="L259" s="348"/>
      <c r="M259" s="348"/>
      <c r="N259" s="348"/>
      <c r="O259" s="348"/>
      <c r="P259" s="348"/>
      <c r="Q259" s="348"/>
    </row>
    <row r="260" spans="9:17" s="349" customFormat="1">
      <c r="I260" s="348"/>
      <c r="J260" s="348"/>
      <c r="K260" s="348"/>
      <c r="L260" s="348"/>
      <c r="M260" s="348"/>
      <c r="N260" s="348"/>
      <c r="O260" s="348"/>
      <c r="P260" s="348"/>
      <c r="Q260" s="348"/>
    </row>
    <row r="261" spans="9:17" s="349" customFormat="1">
      <c r="I261" s="348"/>
      <c r="J261" s="348"/>
      <c r="K261" s="348"/>
      <c r="L261" s="348"/>
      <c r="M261" s="348"/>
      <c r="N261" s="348"/>
      <c r="O261" s="348"/>
      <c r="P261" s="348"/>
      <c r="Q261" s="348"/>
    </row>
    <row r="262" spans="9:17" s="349" customFormat="1">
      <c r="I262" s="348"/>
      <c r="J262" s="348"/>
      <c r="K262" s="348"/>
      <c r="L262" s="348"/>
      <c r="M262" s="348"/>
      <c r="N262" s="348"/>
      <c r="O262" s="348"/>
      <c r="P262" s="348"/>
      <c r="Q262" s="348"/>
    </row>
    <row r="263" spans="9:17" s="349" customFormat="1">
      <c r="I263" s="348"/>
      <c r="J263" s="348"/>
      <c r="K263" s="348"/>
      <c r="L263" s="348"/>
      <c r="M263" s="348"/>
      <c r="N263" s="348"/>
      <c r="O263" s="348"/>
      <c r="P263" s="348"/>
      <c r="Q263" s="348"/>
    </row>
    <row r="264" spans="9:17" s="349" customFormat="1">
      <c r="I264" s="348"/>
      <c r="J264" s="348"/>
      <c r="K264" s="348"/>
      <c r="L264" s="348"/>
      <c r="M264" s="348"/>
      <c r="N264" s="348"/>
      <c r="O264" s="348"/>
      <c r="P264" s="348"/>
      <c r="Q264" s="348"/>
    </row>
    <row r="265" spans="9:17" s="349" customFormat="1">
      <c r="I265" s="348"/>
      <c r="J265" s="348"/>
      <c r="K265" s="348"/>
      <c r="L265" s="348"/>
      <c r="M265" s="348"/>
      <c r="N265" s="348"/>
      <c r="O265" s="348"/>
      <c r="P265" s="348"/>
      <c r="Q265" s="348"/>
    </row>
    <row r="266" spans="9:17" s="349" customFormat="1">
      <c r="I266" s="348"/>
      <c r="J266" s="348"/>
      <c r="K266" s="348"/>
      <c r="L266" s="348"/>
      <c r="M266" s="348"/>
      <c r="N266" s="348"/>
      <c r="O266" s="348"/>
      <c r="P266" s="348"/>
      <c r="Q266" s="348"/>
    </row>
    <row r="267" spans="9:17" s="349" customFormat="1">
      <c r="I267" s="348"/>
      <c r="J267" s="348"/>
      <c r="K267" s="348"/>
      <c r="L267" s="348"/>
      <c r="M267" s="348"/>
      <c r="N267" s="348"/>
      <c r="O267" s="348"/>
      <c r="P267" s="348"/>
      <c r="Q267" s="348"/>
    </row>
    <row r="268" spans="9:17" s="349" customFormat="1">
      <c r="I268" s="348"/>
      <c r="J268" s="348"/>
      <c r="K268" s="348"/>
      <c r="L268" s="348"/>
      <c r="M268" s="348"/>
      <c r="N268" s="348"/>
      <c r="O268" s="348"/>
      <c r="P268" s="348"/>
      <c r="Q268" s="348"/>
    </row>
    <row r="269" spans="9:17" s="349" customFormat="1">
      <c r="I269" s="348"/>
      <c r="J269" s="348"/>
      <c r="K269" s="348"/>
      <c r="L269" s="348"/>
      <c r="M269" s="348"/>
      <c r="N269" s="348"/>
      <c r="O269" s="348"/>
      <c r="P269" s="348"/>
      <c r="Q269" s="348"/>
    </row>
    <row r="270" spans="9:17" s="349" customFormat="1">
      <c r="I270" s="348"/>
      <c r="J270" s="348"/>
      <c r="K270" s="348"/>
      <c r="L270" s="348"/>
      <c r="M270" s="348"/>
      <c r="N270" s="348"/>
      <c r="O270" s="348"/>
      <c r="P270" s="348"/>
      <c r="Q270" s="348"/>
    </row>
    <row r="271" spans="9:17" s="349" customFormat="1">
      <c r="I271" s="348"/>
      <c r="J271" s="348"/>
      <c r="K271" s="348"/>
      <c r="L271" s="348"/>
      <c r="M271" s="348"/>
      <c r="N271" s="348"/>
      <c r="O271" s="348"/>
      <c r="P271" s="348"/>
      <c r="Q271" s="348"/>
    </row>
    <row r="272" spans="9:17" s="349" customFormat="1">
      <c r="I272" s="348"/>
      <c r="J272" s="348"/>
      <c r="K272" s="348"/>
      <c r="L272" s="348"/>
      <c r="M272" s="348"/>
      <c r="N272" s="348"/>
      <c r="O272" s="348"/>
      <c r="P272" s="348"/>
      <c r="Q272" s="348"/>
    </row>
    <row r="273" spans="9:17" s="349" customFormat="1">
      <c r="I273" s="348"/>
      <c r="J273" s="348"/>
      <c r="K273" s="348"/>
      <c r="L273" s="348"/>
      <c r="M273" s="348"/>
      <c r="N273" s="348"/>
      <c r="O273" s="348"/>
      <c r="P273" s="348"/>
      <c r="Q273" s="348"/>
    </row>
    <row r="274" spans="9:17" s="349" customFormat="1">
      <c r="I274" s="348"/>
      <c r="J274" s="348"/>
      <c r="K274" s="348"/>
      <c r="L274" s="348"/>
      <c r="M274" s="348"/>
      <c r="N274" s="348"/>
      <c r="O274" s="348"/>
      <c r="P274" s="348"/>
      <c r="Q274" s="348"/>
    </row>
    <row r="275" spans="9:17" s="349" customFormat="1">
      <c r="I275" s="348"/>
      <c r="J275" s="348"/>
      <c r="K275" s="348"/>
      <c r="L275" s="348"/>
      <c r="M275" s="348"/>
      <c r="N275" s="348"/>
      <c r="O275" s="348"/>
      <c r="P275" s="348"/>
      <c r="Q275" s="348"/>
    </row>
    <row r="276" spans="9:17" s="349" customFormat="1">
      <c r="I276" s="348"/>
      <c r="J276" s="348"/>
      <c r="K276" s="348"/>
      <c r="L276" s="348"/>
      <c r="M276" s="348"/>
      <c r="N276" s="348"/>
      <c r="O276" s="348"/>
      <c r="P276" s="348"/>
      <c r="Q276" s="348"/>
    </row>
    <row r="277" spans="9:17" s="349" customFormat="1">
      <c r="I277" s="348"/>
      <c r="J277" s="348"/>
      <c r="K277" s="348"/>
      <c r="L277" s="348"/>
      <c r="M277" s="348"/>
      <c r="N277" s="348"/>
      <c r="O277" s="348"/>
      <c r="P277" s="348"/>
      <c r="Q277" s="348"/>
    </row>
    <row r="278" spans="9:17" s="349" customFormat="1">
      <c r="I278" s="348"/>
      <c r="J278" s="348"/>
      <c r="K278" s="348"/>
      <c r="L278" s="348"/>
      <c r="M278" s="348"/>
      <c r="N278" s="348"/>
      <c r="O278" s="348"/>
      <c r="P278" s="348"/>
      <c r="Q278" s="348"/>
    </row>
    <row r="279" spans="9:17" s="349" customFormat="1">
      <c r="I279" s="348"/>
      <c r="J279" s="348"/>
      <c r="K279" s="348"/>
      <c r="L279" s="348"/>
      <c r="M279" s="348"/>
      <c r="N279" s="348"/>
      <c r="O279" s="348"/>
      <c r="P279" s="348"/>
      <c r="Q279" s="348"/>
    </row>
    <row r="280" spans="9:17" s="349" customFormat="1">
      <c r="I280" s="348"/>
      <c r="J280" s="348"/>
      <c r="K280" s="348"/>
      <c r="L280" s="348"/>
      <c r="M280" s="348"/>
      <c r="N280" s="348"/>
      <c r="O280" s="348"/>
      <c r="P280" s="348"/>
      <c r="Q280" s="348"/>
    </row>
    <row r="281" spans="9:17" s="349" customFormat="1">
      <c r="I281" s="348"/>
      <c r="J281" s="348"/>
      <c r="K281" s="348"/>
      <c r="L281" s="348"/>
      <c r="M281" s="348"/>
      <c r="N281" s="348"/>
      <c r="O281" s="348"/>
      <c r="P281" s="348"/>
      <c r="Q281" s="348"/>
    </row>
    <row r="282" spans="9:17" s="349" customFormat="1">
      <c r="I282" s="348"/>
      <c r="J282" s="348"/>
      <c r="K282" s="348"/>
      <c r="L282" s="348"/>
      <c r="M282" s="348"/>
      <c r="N282" s="348"/>
      <c r="O282" s="348"/>
      <c r="P282" s="348"/>
      <c r="Q282" s="348"/>
    </row>
    <row r="283" spans="9:17" s="349" customFormat="1">
      <c r="I283" s="348"/>
      <c r="J283" s="348"/>
      <c r="K283" s="348"/>
      <c r="L283" s="348"/>
      <c r="M283" s="348"/>
      <c r="N283" s="348"/>
      <c r="O283" s="348"/>
      <c r="P283" s="348"/>
      <c r="Q283" s="348"/>
    </row>
    <row r="284" spans="9:17" s="349" customFormat="1">
      <c r="I284" s="348"/>
      <c r="J284" s="348"/>
      <c r="K284" s="348"/>
      <c r="L284" s="348"/>
      <c r="M284" s="348"/>
      <c r="N284" s="348"/>
      <c r="O284" s="348"/>
      <c r="P284" s="348"/>
      <c r="Q284" s="348"/>
    </row>
    <row r="285" spans="9:17" s="349" customFormat="1">
      <c r="I285" s="348"/>
      <c r="J285" s="348"/>
      <c r="K285" s="348"/>
      <c r="L285" s="348"/>
      <c r="M285" s="348"/>
      <c r="N285" s="348"/>
      <c r="O285" s="348"/>
      <c r="P285" s="348"/>
      <c r="Q285" s="348"/>
    </row>
    <row r="286" spans="9:17" s="349" customFormat="1">
      <c r="I286" s="348"/>
      <c r="J286" s="348"/>
      <c r="K286" s="348"/>
      <c r="L286" s="348"/>
      <c r="M286" s="348"/>
      <c r="N286" s="348"/>
      <c r="O286" s="348"/>
      <c r="P286" s="348"/>
      <c r="Q286" s="348"/>
    </row>
    <row r="287" spans="9:17" s="349" customFormat="1">
      <c r="I287" s="348"/>
      <c r="J287" s="348"/>
      <c r="K287" s="348"/>
      <c r="L287" s="348"/>
      <c r="M287" s="348"/>
      <c r="N287" s="348"/>
      <c r="O287" s="348"/>
      <c r="P287" s="348"/>
      <c r="Q287" s="348"/>
    </row>
    <row r="288" spans="9:17" s="349" customFormat="1">
      <c r="I288" s="348"/>
      <c r="J288" s="348"/>
      <c r="K288" s="348"/>
      <c r="L288" s="348"/>
      <c r="M288" s="348"/>
      <c r="N288" s="348"/>
      <c r="O288" s="348"/>
      <c r="P288" s="348"/>
      <c r="Q288" s="348"/>
    </row>
    <row r="289" spans="9:17" s="349" customFormat="1">
      <c r="I289" s="348"/>
      <c r="J289" s="348"/>
      <c r="K289" s="348"/>
      <c r="L289" s="348"/>
      <c r="M289" s="348"/>
      <c r="N289" s="348"/>
      <c r="O289" s="348"/>
      <c r="P289" s="348"/>
      <c r="Q289" s="348"/>
    </row>
    <row r="290" spans="9:17" s="349" customFormat="1">
      <c r="I290" s="348"/>
      <c r="J290" s="348"/>
      <c r="K290" s="348"/>
      <c r="L290" s="348"/>
      <c r="M290" s="348"/>
      <c r="N290" s="348"/>
      <c r="O290" s="348"/>
      <c r="P290" s="348"/>
      <c r="Q290" s="348"/>
    </row>
    <row r="291" spans="9:17" s="349" customFormat="1">
      <c r="I291" s="348"/>
      <c r="J291" s="348"/>
      <c r="K291" s="348"/>
      <c r="L291" s="348"/>
      <c r="M291" s="348"/>
      <c r="N291" s="348"/>
      <c r="O291" s="348"/>
      <c r="P291" s="348"/>
      <c r="Q291" s="348"/>
    </row>
    <row r="292" spans="9:17" s="349" customFormat="1">
      <c r="I292" s="348"/>
      <c r="J292" s="348"/>
      <c r="K292" s="348"/>
      <c r="L292" s="348"/>
      <c r="M292" s="348"/>
      <c r="N292" s="348"/>
      <c r="O292" s="348"/>
      <c r="P292" s="348"/>
      <c r="Q292" s="348"/>
    </row>
    <row r="293" spans="9:17" s="349" customFormat="1">
      <c r="I293" s="348"/>
      <c r="J293" s="348"/>
      <c r="K293" s="348"/>
      <c r="L293" s="348"/>
      <c r="M293" s="348"/>
      <c r="N293" s="348"/>
      <c r="O293" s="348"/>
      <c r="P293" s="348"/>
      <c r="Q293" s="348"/>
    </row>
    <row r="294" spans="9:17" s="349" customFormat="1">
      <c r="I294" s="348"/>
      <c r="J294" s="348"/>
      <c r="K294" s="348"/>
      <c r="L294" s="348"/>
      <c r="M294" s="348"/>
      <c r="N294" s="348"/>
      <c r="O294" s="348"/>
      <c r="P294" s="348"/>
      <c r="Q294" s="348"/>
    </row>
    <row r="295" spans="9:17" s="349" customFormat="1">
      <c r="I295" s="348"/>
      <c r="J295" s="348"/>
      <c r="K295" s="348"/>
      <c r="L295" s="348"/>
      <c r="M295" s="348"/>
      <c r="N295" s="348"/>
      <c r="O295" s="348"/>
      <c r="P295" s="348"/>
      <c r="Q295" s="348"/>
    </row>
    <row r="296" spans="9:17" s="349" customFormat="1">
      <c r="I296" s="348"/>
      <c r="J296" s="348"/>
      <c r="K296" s="348"/>
      <c r="L296" s="348"/>
      <c r="M296" s="348"/>
      <c r="N296" s="348"/>
      <c r="O296" s="348"/>
      <c r="P296" s="348"/>
      <c r="Q296" s="348"/>
    </row>
    <row r="297" spans="9:17" s="349" customFormat="1">
      <c r="I297" s="348"/>
      <c r="J297" s="348"/>
      <c r="K297" s="348"/>
      <c r="L297" s="348"/>
      <c r="M297" s="348"/>
      <c r="N297" s="348"/>
      <c r="O297" s="348"/>
      <c r="P297" s="348"/>
      <c r="Q297" s="348"/>
    </row>
    <row r="298" spans="9:17" s="349" customFormat="1">
      <c r="I298" s="348"/>
      <c r="J298" s="348"/>
      <c r="K298" s="348"/>
      <c r="L298" s="348"/>
      <c r="M298" s="348"/>
      <c r="N298" s="348"/>
      <c r="O298" s="348"/>
      <c r="P298" s="348"/>
      <c r="Q298" s="348"/>
    </row>
    <row r="299" spans="9:17" s="349" customFormat="1">
      <c r="I299" s="348"/>
      <c r="J299" s="348"/>
      <c r="K299" s="348"/>
      <c r="L299" s="348"/>
      <c r="M299" s="348"/>
      <c r="N299" s="348"/>
      <c r="O299" s="348"/>
      <c r="P299" s="348"/>
      <c r="Q299" s="348"/>
    </row>
    <row r="300" spans="9:17" s="349" customFormat="1">
      <c r="I300" s="348"/>
      <c r="J300" s="348"/>
      <c r="K300" s="348"/>
      <c r="L300" s="348"/>
      <c r="M300" s="348"/>
      <c r="N300" s="348"/>
      <c r="O300" s="348"/>
      <c r="P300" s="348"/>
      <c r="Q300" s="348"/>
    </row>
    <row r="301" spans="9:17" s="349" customFormat="1">
      <c r="I301" s="348"/>
      <c r="J301" s="348"/>
      <c r="K301" s="348"/>
      <c r="L301" s="348"/>
      <c r="M301" s="348"/>
      <c r="N301" s="348"/>
      <c r="O301" s="348"/>
      <c r="P301" s="348"/>
      <c r="Q301" s="348"/>
    </row>
    <row r="302" spans="9:17" s="349" customFormat="1">
      <c r="I302" s="348"/>
      <c r="J302" s="348"/>
      <c r="K302" s="348"/>
      <c r="L302" s="348"/>
      <c r="M302" s="348"/>
      <c r="N302" s="348"/>
      <c r="O302" s="348"/>
      <c r="P302" s="348"/>
      <c r="Q302" s="348"/>
    </row>
    <row r="303" spans="9:17" s="349" customFormat="1">
      <c r="I303" s="348"/>
      <c r="J303" s="348"/>
      <c r="K303" s="348"/>
      <c r="L303" s="348"/>
      <c r="M303" s="348"/>
      <c r="N303" s="348"/>
      <c r="O303" s="348"/>
      <c r="P303" s="348"/>
      <c r="Q303" s="348"/>
    </row>
    <row r="304" spans="9:17" s="349" customFormat="1">
      <c r="I304" s="348"/>
      <c r="J304" s="348"/>
      <c r="K304" s="348"/>
      <c r="L304" s="348"/>
      <c r="M304" s="348"/>
      <c r="N304" s="348"/>
      <c r="O304" s="348"/>
      <c r="P304" s="348"/>
      <c r="Q304" s="348"/>
    </row>
    <row r="305" spans="9:17" s="349" customFormat="1">
      <c r="I305" s="348"/>
      <c r="J305" s="348"/>
      <c r="K305" s="348"/>
      <c r="L305" s="348"/>
      <c r="M305" s="348"/>
      <c r="N305" s="348"/>
      <c r="O305" s="348"/>
      <c r="P305" s="348"/>
      <c r="Q305" s="348"/>
    </row>
    <row r="306" spans="9:17" s="349" customFormat="1">
      <c r="I306" s="348"/>
      <c r="J306" s="348"/>
      <c r="K306" s="348"/>
      <c r="L306" s="348"/>
      <c r="M306" s="348"/>
      <c r="N306" s="348"/>
      <c r="O306" s="348"/>
      <c r="P306" s="348"/>
      <c r="Q306" s="348"/>
    </row>
    <row r="307" spans="9:17" s="349" customFormat="1">
      <c r="I307" s="348"/>
      <c r="J307" s="348"/>
      <c r="K307" s="348"/>
      <c r="L307" s="348"/>
      <c r="M307" s="348"/>
      <c r="N307" s="348"/>
      <c r="O307" s="348"/>
      <c r="P307" s="348"/>
      <c r="Q307" s="348"/>
    </row>
    <row r="308" spans="9:17" s="349" customFormat="1">
      <c r="I308" s="348"/>
      <c r="J308" s="348"/>
      <c r="K308" s="348"/>
      <c r="L308" s="348"/>
      <c r="M308" s="348"/>
      <c r="N308" s="348"/>
      <c r="O308" s="348"/>
      <c r="P308" s="348"/>
      <c r="Q308" s="348"/>
    </row>
    <row r="309" spans="9:17" s="349" customFormat="1">
      <c r="I309" s="348"/>
      <c r="J309" s="348"/>
      <c r="K309" s="348"/>
      <c r="L309" s="348"/>
      <c r="M309" s="348"/>
      <c r="N309" s="348"/>
      <c r="O309" s="348"/>
      <c r="P309" s="348"/>
      <c r="Q309" s="348"/>
    </row>
    <row r="310" spans="9:17" s="349" customFormat="1">
      <c r="I310" s="348"/>
      <c r="J310" s="348"/>
      <c r="K310" s="348"/>
      <c r="L310" s="348"/>
      <c r="M310" s="348"/>
      <c r="N310" s="348"/>
      <c r="O310" s="348"/>
      <c r="P310" s="348"/>
      <c r="Q310" s="348"/>
    </row>
    <row r="311" spans="9:17" s="349" customFormat="1">
      <c r="I311" s="348"/>
      <c r="J311" s="348"/>
      <c r="K311" s="348"/>
      <c r="L311" s="348"/>
      <c r="M311" s="348"/>
      <c r="N311" s="348"/>
      <c r="O311" s="348"/>
      <c r="P311" s="348"/>
      <c r="Q311" s="348"/>
    </row>
    <row r="312" spans="9:17" s="349" customFormat="1">
      <c r="I312" s="348"/>
      <c r="J312" s="348"/>
      <c r="K312" s="348"/>
      <c r="L312" s="348"/>
      <c r="M312" s="348"/>
      <c r="N312" s="348"/>
      <c r="O312" s="348"/>
      <c r="P312" s="348"/>
      <c r="Q312" s="348"/>
    </row>
    <row r="313" spans="9:17" s="349" customFormat="1">
      <c r="I313" s="348"/>
      <c r="J313" s="348"/>
      <c r="K313" s="348"/>
      <c r="L313" s="348"/>
      <c r="M313" s="348"/>
      <c r="N313" s="348"/>
      <c r="O313" s="348"/>
      <c r="P313" s="348"/>
      <c r="Q313" s="348"/>
    </row>
    <row r="314" spans="9:17" s="349" customFormat="1">
      <c r="I314" s="348"/>
      <c r="J314" s="348"/>
      <c r="K314" s="348"/>
      <c r="L314" s="348"/>
      <c r="M314" s="348"/>
      <c r="N314" s="348"/>
      <c r="O314" s="348"/>
      <c r="P314" s="348"/>
      <c r="Q314" s="348"/>
    </row>
    <row r="315" spans="9:17" s="349" customFormat="1">
      <c r="I315" s="348"/>
      <c r="J315" s="348"/>
      <c r="K315" s="348"/>
      <c r="L315" s="348"/>
      <c r="M315" s="348"/>
      <c r="N315" s="348"/>
      <c r="O315" s="348"/>
      <c r="P315" s="348"/>
      <c r="Q315" s="348"/>
    </row>
    <row r="316" spans="9:17" s="349" customFormat="1">
      <c r="I316" s="348"/>
      <c r="J316" s="348"/>
      <c r="K316" s="348"/>
      <c r="L316" s="348"/>
      <c r="M316" s="348"/>
      <c r="N316" s="348"/>
      <c r="O316" s="348"/>
      <c r="P316" s="348"/>
      <c r="Q316" s="348"/>
    </row>
    <row r="317" spans="9:17" s="349" customFormat="1">
      <c r="I317" s="348"/>
      <c r="J317" s="348"/>
      <c r="K317" s="348"/>
      <c r="L317" s="348"/>
      <c r="M317" s="348"/>
      <c r="N317" s="348"/>
      <c r="O317" s="348"/>
      <c r="P317" s="348"/>
      <c r="Q317" s="348"/>
    </row>
    <row r="318" spans="9:17" s="349" customFormat="1">
      <c r="I318" s="348"/>
      <c r="J318" s="348"/>
      <c r="K318" s="348"/>
      <c r="L318" s="348"/>
      <c r="M318" s="348"/>
      <c r="N318" s="348"/>
      <c r="O318" s="348"/>
      <c r="P318" s="348"/>
      <c r="Q318" s="348"/>
    </row>
    <row r="319" spans="9:17" s="349" customFormat="1">
      <c r="I319" s="348"/>
      <c r="J319" s="348"/>
      <c r="K319" s="348"/>
      <c r="L319" s="348"/>
      <c r="M319" s="348"/>
      <c r="N319" s="348"/>
      <c r="O319" s="348"/>
      <c r="P319" s="348"/>
      <c r="Q319" s="348"/>
    </row>
    <row r="320" spans="9:17" s="349" customFormat="1">
      <c r="I320" s="348"/>
      <c r="J320" s="348"/>
      <c r="K320" s="348"/>
      <c r="L320" s="348"/>
      <c r="M320" s="348"/>
      <c r="N320" s="348"/>
      <c r="O320" s="348"/>
      <c r="P320" s="348"/>
      <c r="Q320" s="348"/>
    </row>
    <row r="321" spans="9:17" s="349" customFormat="1">
      <c r="I321" s="348"/>
      <c r="J321" s="348"/>
      <c r="K321" s="348"/>
      <c r="L321" s="348"/>
      <c r="M321" s="348"/>
      <c r="N321" s="348"/>
      <c r="O321" s="348"/>
      <c r="P321" s="348"/>
      <c r="Q321" s="348"/>
    </row>
    <row r="322" spans="9:17" s="349" customFormat="1">
      <c r="I322" s="348"/>
      <c r="J322" s="348"/>
      <c r="K322" s="348"/>
      <c r="L322" s="348"/>
      <c r="M322" s="348"/>
      <c r="N322" s="348"/>
      <c r="O322" s="348"/>
      <c r="P322" s="348"/>
      <c r="Q322" s="348"/>
    </row>
    <row r="323" spans="9:17" s="349" customFormat="1">
      <c r="I323" s="348"/>
      <c r="J323" s="348"/>
      <c r="K323" s="348"/>
      <c r="L323" s="348"/>
      <c r="M323" s="348"/>
      <c r="N323" s="348"/>
      <c r="O323" s="348"/>
      <c r="P323" s="348"/>
      <c r="Q323" s="348"/>
    </row>
    <row r="324" spans="9:17" s="349" customFormat="1">
      <c r="I324" s="348"/>
      <c r="J324" s="348"/>
      <c r="K324" s="348"/>
      <c r="L324" s="348"/>
      <c r="M324" s="348"/>
      <c r="N324" s="348"/>
      <c r="O324" s="348"/>
      <c r="P324" s="348"/>
      <c r="Q324" s="348"/>
    </row>
    <row r="325" spans="9:17" s="349" customFormat="1">
      <c r="I325" s="348"/>
      <c r="J325" s="348"/>
      <c r="K325" s="348"/>
      <c r="L325" s="348"/>
      <c r="M325" s="348"/>
      <c r="N325" s="348"/>
      <c r="O325" s="348"/>
      <c r="P325" s="348"/>
      <c r="Q325" s="348"/>
    </row>
    <row r="326" spans="9:17" s="349" customFormat="1">
      <c r="I326" s="348"/>
      <c r="J326" s="348"/>
      <c r="K326" s="348"/>
      <c r="L326" s="348"/>
      <c r="M326" s="348"/>
      <c r="N326" s="348"/>
      <c r="O326" s="348"/>
      <c r="P326" s="348"/>
      <c r="Q326" s="348"/>
    </row>
    <row r="327" spans="9:17" s="349" customFormat="1">
      <c r="I327" s="348"/>
      <c r="J327" s="348"/>
      <c r="K327" s="348"/>
      <c r="L327" s="348"/>
      <c r="M327" s="348"/>
      <c r="N327" s="348"/>
      <c r="O327" s="348"/>
      <c r="P327" s="348"/>
      <c r="Q327" s="348"/>
    </row>
    <row r="328" spans="9:17" s="349" customFormat="1">
      <c r="I328" s="348"/>
      <c r="J328" s="348"/>
      <c r="K328" s="348"/>
      <c r="L328" s="348"/>
      <c r="M328" s="348"/>
      <c r="N328" s="348"/>
      <c r="O328" s="348"/>
      <c r="P328" s="348"/>
      <c r="Q328" s="348"/>
    </row>
    <row r="329" spans="9:17" s="349" customFormat="1">
      <c r="I329" s="348"/>
      <c r="J329" s="348"/>
      <c r="K329" s="348"/>
      <c r="L329" s="348"/>
      <c r="M329" s="348"/>
      <c r="N329" s="348"/>
      <c r="O329" s="348"/>
      <c r="P329" s="348"/>
      <c r="Q329" s="348"/>
    </row>
    <row r="330" spans="9:17" s="349" customFormat="1">
      <c r="I330" s="348"/>
      <c r="J330" s="348"/>
      <c r="K330" s="348"/>
      <c r="L330" s="348"/>
      <c r="M330" s="348"/>
      <c r="N330" s="348"/>
      <c r="O330" s="348"/>
      <c r="P330" s="348"/>
      <c r="Q330" s="348"/>
    </row>
    <row r="331" spans="9:17" s="349" customFormat="1">
      <c r="I331" s="348"/>
      <c r="J331" s="348"/>
      <c r="K331" s="348"/>
      <c r="L331" s="348"/>
      <c r="M331" s="348"/>
      <c r="N331" s="348"/>
      <c r="O331" s="348"/>
      <c r="P331" s="348"/>
      <c r="Q331" s="348"/>
    </row>
    <row r="332" spans="9:17" s="349" customFormat="1">
      <c r="I332" s="348"/>
      <c r="J332" s="348"/>
      <c r="K332" s="348"/>
      <c r="L332" s="348"/>
      <c r="M332" s="348"/>
      <c r="N332" s="348"/>
      <c r="O332" s="348"/>
      <c r="P332" s="348"/>
      <c r="Q332" s="348"/>
    </row>
    <row r="333" spans="9:17" s="349" customFormat="1">
      <c r="I333" s="348"/>
      <c r="J333" s="348"/>
      <c r="K333" s="348"/>
      <c r="L333" s="348"/>
      <c r="M333" s="348"/>
      <c r="N333" s="348"/>
      <c r="O333" s="348"/>
      <c r="P333" s="348"/>
      <c r="Q333" s="348"/>
    </row>
    <row r="334" spans="9:17" s="349" customFormat="1">
      <c r="I334" s="348"/>
      <c r="J334" s="348"/>
      <c r="K334" s="348"/>
      <c r="L334" s="348"/>
      <c r="M334" s="348"/>
      <c r="N334" s="348"/>
      <c r="O334" s="348"/>
      <c r="P334" s="348"/>
      <c r="Q334" s="348"/>
    </row>
    <row r="335" spans="9:17" s="349" customFormat="1">
      <c r="I335" s="348"/>
      <c r="J335" s="348"/>
      <c r="K335" s="348"/>
      <c r="L335" s="348"/>
      <c r="M335" s="348"/>
      <c r="N335" s="348"/>
      <c r="O335" s="348"/>
      <c r="P335" s="348"/>
      <c r="Q335" s="348"/>
    </row>
    <row r="336" spans="9:17" s="349" customFormat="1">
      <c r="I336" s="348"/>
      <c r="J336" s="348"/>
      <c r="K336" s="348"/>
      <c r="L336" s="348"/>
      <c r="M336" s="348"/>
      <c r="N336" s="348"/>
      <c r="O336" s="348"/>
      <c r="P336" s="348"/>
      <c r="Q336" s="348"/>
    </row>
    <row r="337" spans="9:17" s="349" customFormat="1">
      <c r="I337" s="348"/>
      <c r="J337" s="348"/>
      <c r="K337" s="348"/>
      <c r="L337" s="348"/>
      <c r="M337" s="348"/>
      <c r="N337" s="348"/>
      <c r="O337" s="348"/>
      <c r="P337" s="348"/>
      <c r="Q337" s="348"/>
    </row>
    <row r="338" spans="9:17" s="349" customFormat="1">
      <c r="I338" s="348"/>
      <c r="J338" s="348"/>
      <c r="K338" s="348"/>
      <c r="L338" s="348"/>
      <c r="M338" s="348"/>
      <c r="N338" s="348"/>
      <c r="O338" s="348"/>
      <c r="P338" s="348"/>
      <c r="Q338" s="348"/>
    </row>
    <row r="339" spans="9:17" s="349" customFormat="1">
      <c r="I339" s="348"/>
      <c r="J339" s="348"/>
      <c r="K339" s="348"/>
      <c r="L339" s="348"/>
      <c r="M339" s="348"/>
      <c r="N339" s="348"/>
      <c r="O339" s="348"/>
      <c r="P339" s="348"/>
      <c r="Q339" s="348"/>
    </row>
    <row r="340" spans="9:17" s="349" customFormat="1">
      <c r="I340" s="348"/>
      <c r="J340" s="348"/>
      <c r="K340" s="348"/>
      <c r="L340" s="348"/>
      <c r="M340" s="348"/>
      <c r="N340" s="348"/>
      <c r="O340" s="348"/>
      <c r="P340" s="348"/>
      <c r="Q340" s="348"/>
    </row>
    <row r="341" spans="9:17" s="349" customFormat="1">
      <c r="I341" s="348"/>
      <c r="J341" s="348"/>
      <c r="K341" s="348"/>
      <c r="L341" s="348"/>
      <c r="M341" s="348"/>
      <c r="N341" s="348"/>
      <c r="O341" s="348"/>
      <c r="P341" s="348"/>
      <c r="Q341" s="348"/>
    </row>
    <row r="342" spans="9:17" s="349" customFormat="1">
      <c r="I342" s="348"/>
      <c r="J342" s="348"/>
      <c r="K342" s="348"/>
      <c r="L342" s="348"/>
      <c r="M342" s="348"/>
      <c r="N342" s="348"/>
      <c r="O342" s="348"/>
      <c r="P342" s="348"/>
      <c r="Q342" s="348"/>
    </row>
    <row r="343" spans="9:17" s="349" customFormat="1">
      <c r="I343" s="348"/>
      <c r="J343" s="348"/>
      <c r="K343" s="348"/>
      <c r="L343" s="348"/>
      <c r="M343" s="348"/>
      <c r="N343" s="348"/>
      <c r="O343" s="348"/>
      <c r="P343" s="348"/>
      <c r="Q343" s="348"/>
    </row>
    <row r="344" spans="9:17" s="349" customFormat="1">
      <c r="I344" s="348"/>
      <c r="J344" s="348"/>
      <c r="K344" s="348"/>
      <c r="L344" s="348"/>
      <c r="M344" s="348"/>
      <c r="N344" s="348"/>
      <c r="O344" s="348"/>
      <c r="P344" s="348"/>
      <c r="Q344" s="348"/>
    </row>
    <row r="345" spans="9:17" s="349" customFormat="1">
      <c r="I345" s="348"/>
      <c r="J345" s="348"/>
      <c r="K345" s="348"/>
      <c r="L345" s="348"/>
      <c r="M345" s="348"/>
      <c r="N345" s="348"/>
      <c r="O345" s="348"/>
      <c r="P345" s="348"/>
      <c r="Q345" s="348"/>
    </row>
    <row r="346" spans="9:17" s="349" customFormat="1">
      <c r="I346" s="348"/>
      <c r="J346" s="348"/>
      <c r="K346" s="348"/>
      <c r="L346" s="348"/>
      <c r="M346" s="348"/>
      <c r="N346" s="348"/>
      <c r="O346" s="348"/>
      <c r="P346" s="348"/>
      <c r="Q346" s="348"/>
    </row>
    <row r="347" spans="9:17" s="349" customFormat="1">
      <c r="I347" s="348"/>
      <c r="J347" s="348"/>
      <c r="K347" s="348"/>
      <c r="L347" s="348"/>
      <c r="M347" s="348"/>
      <c r="N347" s="348"/>
      <c r="O347" s="348"/>
      <c r="P347" s="348"/>
      <c r="Q347" s="348"/>
    </row>
    <row r="348" spans="9:17" s="349" customFormat="1">
      <c r="I348" s="348"/>
      <c r="J348" s="348"/>
      <c r="K348" s="348"/>
      <c r="L348" s="348"/>
      <c r="M348" s="348"/>
      <c r="N348" s="348"/>
      <c r="O348" s="348"/>
      <c r="P348" s="348"/>
      <c r="Q348" s="348"/>
    </row>
    <row r="349" spans="9:17" s="349" customFormat="1">
      <c r="I349" s="348"/>
      <c r="J349" s="348"/>
      <c r="K349" s="348"/>
      <c r="L349" s="348"/>
      <c r="M349" s="348"/>
      <c r="N349" s="348"/>
      <c r="O349" s="348"/>
      <c r="P349" s="348"/>
      <c r="Q349" s="348"/>
    </row>
    <row r="350" spans="9:17" s="349" customFormat="1">
      <c r="I350" s="348"/>
      <c r="J350" s="348"/>
      <c r="K350" s="348"/>
      <c r="L350" s="348"/>
      <c r="M350" s="348"/>
      <c r="N350" s="348"/>
      <c r="O350" s="348"/>
      <c r="P350" s="348"/>
      <c r="Q350" s="348"/>
    </row>
    <row r="351" spans="9:17" s="349" customFormat="1">
      <c r="I351" s="348"/>
      <c r="J351" s="348"/>
      <c r="K351" s="348"/>
      <c r="L351" s="348"/>
      <c r="M351" s="348"/>
      <c r="N351" s="348"/>
      <c r="O351" s="348"/>
      <c r="P351" s="348"/>
      <c r="Q351" s="348"/>
    </row>
    <row r="352" spans="9:17" s="349" customFormat="1">
      <c r="I352" s="348"/>
      <c r="J352" s="348"/>
      <c r="K352" s="348"/>
      <c r="L352" s="348"/>
      <c r="M352" s="348"/>
      <c r="N352" s="348"/>
      <c r="O352" s="348"/>
      <c r="P352" s="348"/>
      <c r="Q352" s="348"/>
    </row>
    <row r="353" spans="9:17" s="349" customFormat="1">
      <c r="I353" s="348"/>
      <c r="J353" s="348"/>
      <c r="K353" s="348"/>
      <c r="L353" s="348"/>
      <c r="M353" s="348"/>
      <c r="N353" s="348"/>
      <c r="O353" s="348"/>
      <c r="P353" s="348"/>
      <c r="Q353" s="348"/>
    </row>
    <row r="354" spans="9:17" s="349" customFormat="1">
      <c r="I354" s="348"/>
      <c r="J354" s="348"/>
      <c r="K354" s="348"/>
      <c r="L354" s="348"/>
      <c r="M354" s="348"/>
      <c r="N354" s="348"/>
      <c r="O354" s="348"/>
      <c r="P354" s="348"/>
      <c r="Q354" s="348"/>
    </row>
    <row r="355" spans="9:17" s="349" customFormat="1">
      <c r="I355" s="348"/>
      <c r="J355" s="348"/>
      <c r="K355" s="348"/>
      <c r="L355" s="348"/>
      <c r="M355" s="348"/>
      <c r="N355" s="348"/>
      <c r="O355" s="348"/>
      <c r="P355" s="348"/>
      <c r="Q355" s="348"/>
    </row>
    <row r="356" spans="9:17" s="349" customFormat="1">
      <c r="I356" s="348"/>
      <c r="J356" s="348"/>
      <c r="K356" s="348"/>
      <c r="L356" s="348"/>
      <c r="M356" s="348"/>
      <c r="N356" s="348"/>
      <c r="O356" s="348"/>
      <c r="P356" s="348"/>
      <c r="Q356" s="348"/>
    </row>
    <row r="357" spans="9:17" s="349" customFormat="1">
      <c r="I357" s="348"/>
      <c r="J357" s="348"/>
      <c r="K357" s="348"/>
      <c r="L357" s="348"/>
      <c r="M357" s="348"/>
      <c r="N357" s="348"/>
      <c r="O357" s="348"/>
      <c r="P357" s="348"/>
      <c r="Q357" s="348"/>
    </row>
    <row r="358" spans="9:17" s="349" customFormat="1">
      <c r="I358" s="348"/>
      <c r="J358" s="348"/>
      <c r="K358" s="348"/>
      <c r="L358" s="348"/>
      <c r="M358" s="348"/>
      <c r="N358" s="348"/>
      <c r="O358" s="348"/>
      <c r="P358" s="348"/>
      <c r="Q358" s="348"/>
    </row>
    <row r="359" spans="9:17" s="349" customFormat="1">
      <c r="I359" s="348"/>
      <c r="J359" s="348"/>
      <c r="K359" s="348"/>
      <c r="L359" s="348"/>
      <c r="M359" s="348"/>
      <c r="N359" s="348"/>
      <c r="O359" s="348"/>
      <c r="P359" s="348"/>
      <c r="Q359" s="348"/>
    </row>
    <row r="360" spans="9:17" s="349" customFormat="1">
      <c r="I360" s="348"/>
      <c r="J360" s="348"/>
      <c r="K360" s="348"/>
      <c r="L360" s="348"/>
      <c r="M360" s="348"/>
      <c r="N360" s="348"/>
      <c r="O360" s="348"/>
      <c r="P360" s="348"/>
      <c r="Q360" s="348"/>
    </row>
    <row r="361" spans="9:17" s="349" customFormat="1">
      <c r="I361" s="348"/>
      <c r="J361" s="348"/>
      <c r="K361" s="348"/>
      <c r="L361" s="348"/>
      <c r="M361" s="348"/>
      <c r="N361" s="348"/>
      <c r="O361" s="348"/>
      <c r="P361" s="348"/>
      <c r="Q361" s="348"/>
    </row>
    <row r="362" spans="9:17" s="349" customFormat="1">
      <c r="I362" s="348"/>
      <c r="J362" s="348"/>
      <c r="K362" s="348"/>
      <c r="L362" s="348"/>
      <c r="M362" s="348"/>
      <c r="N362" s="348"/>
      <c r="O362" s="348"/>
      <c r="P362" s="348"/>
      <c r="Q362" s="348"/>
    </row>
    <row r="363" spans="9:17" s="349" customFormat="1">
      <c r="I363" s="348"/>
      <c r="J363" s="348"/>
      <c r="K363" s="348"/>
      <c r="L363" s="348"/>
      <c r="M363" s="348"/>
      <c r="N363" s="348"/>
      <c r="O363" s="348"/>
      <c r="P363" s="348"/>
      <c r="Q363" s="348"/>
    </row>
    <row r="364" spans="9:17" s="349" customFormat="1">
      <c r="I364" s="348"/>
      <c r="J364" s="348"/>
      <c r="K364" s="348"/>
      <c r="L364" s="348"/>
      <c r="M364" s="348"/>
      <c r="N364" s="348"/>
      <c r="O364" s="348"/>
      <c r="P364" s="348"/>
      <c r="Q364" s="348"/>
    </row>
    <row r="365" spans="9:17" s="349" customFormat="1">
      <c r="I365" s="348"/>
      <c r="J365" s="348"/>
      <c r="K365" s="348"/>
      <c r="L365" s="348"/>
      <c r="M365" s="348"/>
      <c r="N365" s="348"/>
      <c r="O365" s="348"/>
      <c r="P365" s="348"/>
      <c r="Q365" s="348"/>
    </row>
    <row r="366" spans="9:17" s="349" customFormat="1">
      <c r="I366" s="348"/>
      <c r="J366" s="348"/>
      <c r="K366" s="348"/>
      <c r="L366" s="348"/>
      <c r="M366" s="348"/>
      <c r="N366" s="348"/>
      <c r="O366" s="348"/>
      <c r="P366" s="348"/>
      <c r="Q366" s="348"/>
    </row>
    <row r="367" spans="9:17" s="349" customFormat="1">
      <c r="I367" s="348"/>
      <c r="J367" s="348"/>
      <c r="K367" s="348"/>
      <c r="L367" s="348"/>
      <c r="M367" s="348"/>
      <c r="N367" s="348"/>
      <c r="O367" s="348"/>
      <c r="P367" s="348"/>
      <c r="Q367" s="348"/>
    </row>
    <row r="368" spans="9:17" s="349" customFormat="1">
      <c r="I368" s="348"/>
      <c r="J368" s="348"/>
      <c r="K368" s="348"/>
      <c r="L368" s="348"/>
      <c r="M368" s="348"/>
      <c r="N368" s="348"/>
      <c r="O368" s="348"/>
      <c r="P368" s="348"/>
      <c r="Q368" s="348"/>
    </row>
    <row r="369" spans="9:17" s="349" customFormat="1">
      <c r="I369" s="348"/>
      <c r="J369" s="348"/>
      <c r="K369" s="348"/>
      <c r="L369" s="348"/>
      <c r="M369" s="348"/>
      <c r="N369" s="348"/>
      <c r="O369" s="348"/>
      <c r="P369" s="348"/>
      <c r="Q369" s="348"/>
    </row>
    <row r="370" spans="9:17" s="349" customFormat="1">
      <c r="I370" s="348"/>
      <c r="J370" s="348"/>
      <c r="K370" s="348"/>
      <c r="L370" s="348"/>
      <c r="M370" s="348"/>
      <c r="N370" s="348"/>
      <c r="O370" s="348"/>
      <c r="P370" s="348"/>
      <c r="Q370" s="348"/>
    </row>
    <row r="371" spans="9:17" s="349" customFormat="1">
      <c r="I371" s="348"/>
      <c r="J371" s="348"/>
      <c r="K371" s="348"/>
      <c r="L371" s="348"/>
      <c r="M371" s="348"/>
      <c r="N371" s="348"/>
      <c r="O371" s="348"/>
      <c r="P371" s="348"/>
      <c r="Q371" s="348"/>
    </row>
    <row r="372" spans="9:17" s="349" customFormat="1">
      <c r="I372" s="348"/>
      <c r="J372" s="348"/>
      <c r="K372" s="348"/>
      <c r="L372" s="348"/>
      <c r="M372" s="348"/>
      <c r="N372" s="348"/>
      <c r="O372" s="348"/>
      <c r="P372" s="348"/>
      <c r="Q372" s="348"/>
    </row>
    <row r="373" spans="9:17" s="349" customFormat="1">
      <c r="I373" s="348"/>
      <c r="J373" s="348"/>
      <c r="K373" s="348"/>
      <c r="L373" s="348"/>
      <c r="M373" s="348"/>
      <c r="N373" s="348"/>
      <c r="O373" s="348"/>
      <c r="P373" s="348"/>
      <c r="Q373" s="348"/>
    </row>
    <row r="374" spans="9:17" s="349" customFormat="1">
      <c r="I374" s="348"/>
      <c r="J374" s="348"/>
      <c r="K374" s="348"/>
      <c r="L374" s="348"/>
      <c r="M374" s="348"/>
      <c r="N374" s="348"/>
      <c r="O374" s="348"/>
      <c r="P374" s="348"/>
      <c r="Q374" s="348"/>
    </row>
    <row r="375" spans="9:17" s="349" customFormat="1">
      <c r="I375" s="348"/>
      <c r="J375" s="348"/>
      <c r="K375" s="348"/>
      <c r="L375" s="348"/>
      <c r="M375" s="348"/>
      <c r="N375" s="348"/>
      <c r="O375" s="348"/>
      <c r="P375" s="348"/>
      <c r="Q375" s="348"/>
    </row>
    <row r="376" spans="9:17" s="349" customFormat="1">
      <c r="I376" s="348"/>
      <c r="J376" s="348"/>
      <c r="K376" s="348"/>
      <c r="L376" s="348"/>
      <c r="M376" s="348"/>
      <c r="N376" s="348"/>
      <c r="O376" s="348"/>
      <c r="P376" s="348"/>
      <c r="Q376" s="348"/>
    </row>
    <row r="377" spans="9:17" s="349" customFormat="1">
      <c r="I377" s="348"/>
      <c r="J377" s="348"/>
      <c r="K377" s="348"/>
      <c r="L377" s="348"/>
      <c r="M377" s="348"/>
      <c r="N377" s="348"/>
      <c r="O377" s="348"/>
      <c r="P377" s="348"/>
      <c r="Q377" s="348"/>
    </row>
    <row r="378" spans="9:17" s="349" customFormat="1">
      <c r="I378" s="348"/>
      <c r="J378" s="348"/>
      <c r="K378" s="348"/>
      <c r="L378" s="348"/>
      <c r="M378" s="348"/>
      <c r="N378" s="348"/>
      <c r="O378" s="348"/>
      <c r="P378" s="348"/>
      <c r="Q378" s="348"/>
    </row>
    <row r="379" spans="9:17" s="349" customFormat="1">
      <c r="I379" s="348"/>
      <c r="J379" s="348"/>
      <c r="K379" s="348"/>
      <c r="L379" s="348"/>
      <c r="M379" s="348"/>
      <c r="N379" s="348"/>
      <c r="O379" s="348"/>
      <c r="P379" s="348"/>
      <c r="Q379" s="348"/>
    </row>
    <row r="380" spans="9:17" s="349" customFormat="1">
      <c r="I380" s="348"/>
      <c r="J380" s="348"/>
      <c r="K380" s="348"/>
      <c r="L380" s="348"/>
      <c r="M380" s="348"/>
      <c r="N380" s="348"/>
      <c r="O380" s="348"/>
      <c r="P380" s="348"/>
      <c r="Q380" s="348"/>
    </row>
    <row r="381" spans="9:17" s="349" customFormat="1">
      <c r="I381" s="348"/>
      <c r="J381" s="348"/>
      <c r="K381" s="348"/>
      <c r="L381" s="348"/>
      <c r="M381" s="348"/>
      <c r="N381" s="348"/>
      <c r="O381" s="348"/>
      <c r="P381" s="348"/>
      <c r="Q381" s="348"/>
    </row>
    <row r="382" spans="9:17" s="349" customFormat="1">
      <c r="I382" s="348"/>
      <c r="J382" s="348"/>
      <c r="K382" s="348"/>
      <c r="L382" s="348"/>
      <c r="M382" s="348"/>
      <c r="N382" s="348"/>
      <c r="O382" s="348"/>
      <c r="P382" s="348"/>
      <c r="Q382" s="348"/>
    </row>
    <row r="383" spans="9:17" s="349" customFormat="1">
      <c r="I383" s="348"/>
      <c r="J383" s="348"/>
      <c r="K383" s="348"/>
      <c r="L383" s="348"/>
      <c r="M383" s="348"/>
      <c r="N383" s="348"/>
      <c r="O383" s="348"/>
      <c r="P383" s="348"/>
      <c r="Q383" s="348"/>
    </row>
    <row r="384" spans="9:17" s="349" customFormat="1">
      <c r="I384" s="348"/>
      <c r="J384" s="348"/>
      <c r="K384" s="348"/>
      <c r="L384" s="348"/>
      <c r="M384" s="348"/>
      <c r="N384" s="348"/>
      <c r="O384" s="348"/>
      <c r="P384" s="348"/>
      <c r="Q384" s="348"/>
    </row>
    <row r="385" spans="9:17" s="349" customFormat="1">
      <c r="I385" s="348"/>
      <c r="J385" s="348"/>
      <c r="K385" s="348"/>
      <c r="L385" s="348"/>
      <c r="M385" s="348"/>
      <c r="N385" s="348"/>
      <c r="O385" s="348"/>
      <c r="P385" s="348"/>
      <c r="Q385" s="348"/>
    </row>
    <row r="386" spans="9:17" s="349" customFormat="1">
      <c r="I386" s="348"/>
      <c r="J386" s="348"/>
      <c r="K386" s="348"/>
      <c r="L386" s="348"/>
      <c r="M386" s="348"/>
      <c r="N386" s="348"/>
      <c r="O386" s="348"/>
      <c r="P386" s="348"/>
      <c r="Q386" s="348"/>
    </row>
    <row r="387" spans="9:17" s="349" customFormat="1">
      <c r="I387" s="348"/>
      <c r="J387" s="348"/>
      <c r="K387" s="348"/>
      <c r="L387" s="348"/>
      <c r="M387" s="348"/>
      <c r="N387" s="348"/>
      <c r="O387" s="348"/>
      <c r="P387" s="348"/>
      <c r="Q387" s="348"/>
    </row>
    <row r="388" spans="9:17" s="349" customFormat="1">
      <c r="I388" s="348"/>
      <c r="J388" s="348"/>
      <c r="K388" s="348"/>
      <c r="L388" s="348"/>
      <c r="M388" s="348"/>
      <c r="N388" s="348"/>
      <c r="O388" s="348"/>
      <c r="P388" s="348"/>
      <c r="Q388" s="348"/>
    </row>
    <row r="389" spans="9:17" s="349" customFormat="1">
      <c r="I389" s="348"/>
      <c r="J389" s="348"/>
      <c r="K389" s="348"/>
      <c r="L389" s="348"/>
      <c r="M389" s="348"/>
      <c r="N389" s="348"/>
      <c r="O389" s="348"/>
      <c r="P389" s="348"/>
      <c r="Q389" s="348"/>
    </row>
    <row r="390" spans="9:17" s="349" customFormat="1">
      <c r="I390" s="348"/>
      <c r="J390" s="348"/>
      <c r="K390" s="348"/>
      <c r="L390" s="348"/>
      <c r="M390" s="348"/>
      <c r="N390" s="348"/>
      <c r="O390" s="348"/>
      <c r="P390" s="348"/>
      <c r="Q390" s="348"/>
    </row>
    <row r="391" spans="9:17" s="349" customFormat="1">
      <c r="I391" s="348"/>
      <c r="J391" s="348"/>
      <c r="K391" s="348"/>
      <c r="L391" s="348"/>
      <c r="M391" s="348"/>
      <c r="N391" s="348"/>
      <c r="O391" s="348"/>
      <c r="P391" s="348"/>
      <c r="Q391" s="348"/>
    </row>
    <row r="392" spans="9:17" s="349" customFormat="1">
      <c r="I392" s="348"/>
      <c r="J392" s="348"/>
      <c r="K392" s="348"/>
      <c r="L392" s="348"/>
      <c r="M392" s="348"/>
      <c r="N392" s="348"/>
      <c r="O392" s="348"/>
      <c r="P392" s="348"/>
      <c r="Q392" s="348"/>
    </row>
    <row r="393" spans="9:17" s="349" customFormat="1">
      <c r="I393" s="348"/>
      <c r="J393" s="348"/>
      <c r="K393" s="348"/>
      <c r="L393" s="348"/>
      <c r="M393" s="348"/>
      <c r="N393" s="348"/>
      <c r="O393" s="348"/>
      <c r="P393" s="348"/>
      <c r="Q393" s="348"/>
    </row>
    <row r="394" spans="9:17" s="349" customFormat="1">
      <c r="I394" s="348"/>
      <c r="J394" s="348"/>
      <c r="K394" s="348"/>
      <c r="L394" s="348"/>
      <c r="M394" s="348"/>
      <c r="N394" s="348"/>
      <c r="O394" s="348"/>
      <c r="P394" s="348"/>
      <c r="Q394" s="348"/>
    </row>
    <row r="395" spans="9:17" s="349" customFormat="1">
      <c r="I395" s="348"/>
      <c r="J395" s="348"/>
      <c r="K395" s="348"/>
      <c r="L395" s="348"/>
      <c r="M395" s="348"/>
      <c r="N395" s="348"/>
      <c r="O395" s="348"/>
      <c r="P395" s="348"/>
      <c r="Q395" s="348"/>
    </row>
    <row r="396" spans="9:17" s="349" customFormat="1">
      <c r="I396" s="348"/>
      <c r="J396" s="348"/>
      <c r="K396" s="348"/>
      <c r="L396" s="348"/>
      <c r="M396" s="348"/>
      <c r="N396" s="348"/>
      <c r="O396" s="348"/>
      <c r="P396" s="348"/>
      <c r="Q396" s="348"/>
    </row>
    <row r="397" spans="9:17" s="349" customFormat="1">
      <c r="I397" s="348"/>
      <c r="J397" s="348"/>
      <c r="K397" s="348"/>
      <c r="L397" s="348"/>
      <c r="M397" s="348"/>
      <c r="N397" s="348"/>
      <c r="O397" s="348"/>
      <c r="P397" s="348"/>
      <c r="Q397" s="348"/>
    </row>
    <row r="398" spans="9:17" s="349" customFormat="1">
      <c r="I398" s="348"/>
      <c r="J398" s="348"/>
      <c r="K398" s="348"/>
      <c r="L398" s="348"/>
      <c r="M398" s="348"/>
      <c r="N398" s="348"/>
      <c r="O398" s="348"/>
      <c r="P398" s="348"/>
      <c r="Q398" s="348"/>
    </row>
    <row r="399" spans="9:17" s="349" customFormat="1">
      <c r="I399" s="348"/>
      <c r="J399" s="348"/>
      <c r="K399" s="348"/>
      <c r="L399" s="348"/>
      <c r="M399" s="348"/>
      <c r="N399" s="348"/>
      <c r="O399" s="348"/>
      <c r="P399" s="348"/>
      <c r="Q399" s="348"/>
    </row>
    <row r="400" spans="9:17" s="349" customFormat="1">
      <c r="I400" s="348"/>
      <c r="J400" s="348"/>
      <c r="K400" s="348"/>
      <c r="L400" s="348"/>
      <c r="M400" s="348"/>
      <c r="N400" s="348"/>
      <c r="O400" s="348"/>
      <c r="P400" s="348"/>
      <c r="Q400" s="348"/>
    </row>
    <row r="401" spans="9:17" s="349" customFormat="1">
      <c r="I401" s="348"/>
      <c r="J401" s="348"/>
      <c r="K401" s="348"/>
      <c r="L401" s="348"/>
      <c r="M401" s="348"/>
      <c r="N401" s="348"/>
      <c r="O401" s="348"/>
      <c r="P401" s="348"/>
      <c r="Q401" s="348"/>
    </row>
    <row r="402" spans="9:17" s="349" customFormat="1">
      <c r="I402" s="348"/>
      <c r="J402" s="348"/>
      <c r="K402" s="348"/>
      <c r="L402" s="348"/>
      <c r="M402" s="348"/>
      <c r="N402" s="348"/>
      <c r="O402" s="348"/>
      <c r="P402" s="348"/>
      <c r="Q402" s="348"/>
    </row>
    <row r="403" spans="9:17" s="349" customFormat="1">
      <c r="I403" s="348"/>
      <c r="J403" s="348"/>
      <c r="K403" s="348"/>
      <c r="L403" s="348"/>
      <c r="M403" s="348"/>
      <c r="N403" s="348"/>
      <c r="O403" s="348"/>
      <c r="P403" s="348"/>
      <c r="Q403" s="348"/>
    </row>
    <row r="404" spans="9:17" s="349" customFormat="1">
      <c r="I404" s="348"/>
      <c r="J404" s="348"/>
      <c r="K404" s="348"/>
      <c r="L404" s="348"/>
      <c r="M404" s="348"/>
      <c r="N404" s="348"/>
      <c r="O404" s="348"/>
      <c r="P404" s="348"/>
      <c r="Q404" s="348"/>
    </row>
    <row r="405" spans="9:17" s="349" customFormat="1">
      <c r="I405" s="348"/>
      <c r="J405" s="348"/>
      <c r="K405" s="348"/>
      <c r="L405" s="348"/>
      <c r="M405" s="348"/>
      <c r="N405" s="348"/>
      <c r="O405" s="348"/>
      <c r="P405" s="348"/>
      <c r="Q405" s="348"/>
    </row>
    <row r="406" spans="9:17" s="349" customFormat="1">
      <c r="I406" s="348"/>
      <c r="J406" s="348"/>
      <c r="K406" s="348"/>
      <c r="L406" s="348"/>
      <c r="M406" s="348"/>
      <c r="N406" s="348"/>
      <c r="O406" s="348"/>
      <c r="P406" s="348"/>
      <c r="Q406" s="348"/>
    </row>
    <row r="407" spans="9:17" s="349" customFormat="1">
      <c r="I407" s="348"/>
      <c r="J407" s="348"/>
      <c r="K407" s="348"/>
      <c r="L407" s="348"/>
      <c r="M407" s="348"/>
      <c r="N407" s="348"/>
      <c r="O407" s="348"/>
      <c r="P407" s="348"/>
      <c r="Q407" s="348"/>
    </row>
    <row r="408" spans="9:17" s="349" customFormat="1">
      <c r="I408" s="348"/>
      <c r="J408" s="348"/>
      <c r="K408" s="348"/>
      <c r="L408" s="348"/>
      <c r="M408" s="348"/>
      <c r="N408" s="348"/>
      <c r="O408" s="348"/>
      <c r="P408" s="348"/>
      <c r="Q408" s="348"/>
    </row>
    <row r="409" spans="9:17" s="349" customFormat="1">
      <c r="I409" s="348"/>
      <c r="J409" s="348"/>
      <c r="K409" s="348"/>
      <c r="L409" s="348"/>
      <c r="M409" s="348"/>
      <c r="N409" s="348"/>
      <c r="O409" s="348"/>
      <c r="P409" s="348"/>
      <c r="Q409" s="348"/>
    </row>
    <row r="410" spans="9:17" s="349" customFormat="1">
      <c r="I410" s="348"/>
      <c r="J410" s="348"/>
      <c r="K410" s="348"/>
      <c r="L410" s="348"/>
      <c r="M410" s="348"/>
      <c r="N410" s="348"/>
      <c r="O410" s="348"/>
      <c r="P410" s="348"/>
      <c r="Q410" s="348"/>
    </row>
    <row r="411" spans="9:17" s="349" customFormat="1">
      <c r="I411" s="348"/>
      <c r="J411" s="348"/>
      <c r="K411" s="348"/>
      <c r="L411" s="348"/>
      <c r="M411" s="348"/>
      <c r="N411" s="348"/>
      <c r="O411" s="348"/>
      <c r="P411" s="348"/>
      <c r="Q411" s="348"/>
    </row>
    <row r="412" spans="9:17" s="349" customFormat="1">
      <c r="I412" s="348"/>
      <c r="J412" s="348"/>
      <c r="K412" s="348"/>
      <c r="L412" s="348"/>
      <c r="M412" s="348"/>
      <c r="N412" s="348"/>
      <c r="O412" s="348"/>
      <c r="P412" s="348"/>
      <c r="Q412" s="348"/>
    </row>
    <row r="413" spans="9:17" s="349" customFormat="1">
      <c r="I413" s="348"/>
      <c r="J413" s="348"/>
      <c r="K413" s="348"/>
      <c r="L413" s="348"/>
      <c r="M413" s="348"/>
      <c r="N413" s="348"/>
      <c r="O413" s="348"/>
      <c r="P413" s="348"/>
      <c r="Q413" s="348"/>
    </row>
    <row r="414" spans="9:17" s="349" customFormat="1">
      <c r="I414" s="348"/>
      <c r="J414" s="348"/>
      <c r="K414" s="348"/>
      <c r="L414" s="348"/>
      <c r="M414" s="348"/>
      <c r="N414" s="348"/>
      <c r="O414" s="348"/>
      <c r="P414" s="348"/>
      <c r="Q414" s="348"/>
    </row>
    <row r="415" spans="9:17" s="349" customFormat="1">
      <c r="I415" s="348"/>
      <c r="J415" s="348"/>
      <c r="K415" s="348"/>
      <c r="L415" s="348"/>
      <c r="M415" s="348"/>
      <c r="N415" s="348"/>
      <c r="O415" s="348"/>
      <c r="P415" s="348"/>
      <c r="Q415" s="348"/>
    </row>
    <row r="416" spans="9:17" s="349" customFormat="1">
      <c r="I416" s="348"/>
      <c r="J416" s="348"/>
      <c r="K416" s="348"/>
      <c r="L416" s="348"/>
      <c r="M416" s="348"/>
      <c r="N416" s="348"/>
      <c r="O416" s="348"/>
      <c r="P416" s="348"/>
      <c r="Q416" s="348"/>
    </row>
    <row r="417" spans="9:17" s="349" customFormat="1">
      <c r="I417" s="348"/>
      <c r="J417" s="348"/>
      <c r="K417" s="348"/>
      <c r="L417" s="348"/>
      <c r="M417" s="348"/>
      <c r="N417" s="348"/>
      <c r="O417" s="348"/>
      <c r="P417" s="348"/>
      <c r="Q417" s="348"/>
    </row>
    <row r="418" spans="9:17" s="349" customFormat="1">
      <c r="I418" s="348"/>
      <c r="J418" s="348"/>
      <c r="K418" s="348"/>
      <c r="L418" s="348"/>
      <c r="M418" s="348"/>
      <c r="N418" s="348"/>
      <c r="O418" s="348"/>
      <c r="P418" s="348"/>
      <c r="Q418" s="348"/>
    </row>
    <row r="419" spans="9:17" s="349" customFormat="1">
      <c r="I419" s="348"/>
      <c r="J419" s="348"/>
      <c r="K419" s="348"/>
      <c r="L419" s="348"/>
      <c r="M419" s="348"/>
      <c r="N419" s="348"/>
      <c r="O419" s="348"/>
      <c r="P419" s="348"/>
      <c r="Q419" s="348"/>
    </row>
    <row r="420" spans="9:17" s="349" customFormat="1">
      <c r="I420" s="348"/>
      <c r="J420" s="348"/>
      <c r="K420" s="348"/>
      <c r="L420" s="348"/>
      <c r="M420" s="348"/>
      <c r="N420" s="348"/>
      <c r="O420" s="348"/>
      <c r="P420" s="348"/>
      <c r="Q420" s="348"/>
    </row>
    <row r="421" spans="9:17" s="349" customFormat="1">
      <c r="I421" s="348"/>
      <c r="J421" s="348"/>
      <c r="K421" s="348"/>
      <c r="L421" s="348"/>
      <c r="M421" s="348"/>
      <c r="N421" s="348"/>
      <c r="O421" s="348"/>
      <c r="P421" s="348"/>
      <c r="Q421" s="348"/>
    </row>
    <row r="422" spans="9:17" s="349" customFormat="1">
      <c r="I422" s="348"/>
      <c r="J422" s="348"/>
      <c r="K422" s="348"/>
      <c r="L422" s="348"/>
      <c r="M422" s="348"/>
      <c r="N422" s="348"/>
      <c r="O422" s="348"/>
      <c r="P422" s="348"/>
      <c r="Q422" s="348"/>
    </row>
    <row r="423" spans="9:17" s="349" customFormat="1">
      <c r="I423" s="348"/>
      <c r="J423" s="348"/>
      <c r="K423" s="348"/>
      <c r="L423" s="348"/>
      <c r="M423" s="348"/>
      <c r="N423" s="348"/>
      <c r="O423" s="348"/>
      <c r="P423" s="348"/>
      <c r="Q423" s="348"/>
    </row>
    <row r="424" spans="9:17" s="349" customFormat="1">
      <c r="I424" s="348"/>
      <c r="J424" s="348"/>
      <c r="K424" s="348"/>
      <c r="L424" s="348"/>
      <c r="M424" s="348"/>
      <c r="N424" s="348"/>
      <c r="O424" s="348"/>
      <c r="P424" s="348"/>
      <c r="Q424" s="348"/>
    </row>
    <row r="425" spans="9:17" s="349" customFormat="1">
      <c r="I425" s="348"/>
      <c r="J425" s="348"/>
      <c r="K425" s="348"/>
      <c r="L425" s="348"/>
      <c r="M425" s="348"/>
      <c r="N425" s="348"/>
      <c r="O425" s="348"/>
      <c r="P425" s="348"/>
      <c r="Q425" s="348"/>
    </row>
    <row r="426" spans="9:17" s="349" customFormat="1">
      <c r="I426" s="348"/>
      <c r="J426" s="348"/>
      <c r="K426" s="348"/>
      <c r="L426" s="348"/>
      <c r="M426" s="348"/>
      <c r="N426" s="348"/>
      <c r="O426" s="348"/>
      <c r="P426" s="348"/>
      <c r="Q426" s="348"/>
    </row>
    <row r="427" spans="9:17" s="349" customFormat="1">
      <c r="I427" s="348"/>
      <c r="J427" s="348"/>
      <c r="K427" s="348"/>
      <c r="L427" s="348"/>
      <c r="M427" s="348"/>
      <c r="N427" s="348"/>
      <c r="O427" s="348"/>
      <c r="P427" s="348"/>
      <c r="Q427" s="348"/>
    </row>
    <row r="428" spans="9:17" s="349" customFormat="1">
      <c r="I428" s="348"/>
      <c r="J428" s="348"/>
      <c r="K428" s="348"/>
      <c r="L428" s="348"/>
      <c r="M428" s="348"/>
      <c r="N428" s="348"/>
      <c r="O428" s="348"/>
      <c r="P428" s="348"/>
      <c r="Q428" s="348"/>
    </row>
    <row r="429" spans="9:17" s="349" customFormat="1">
      <c r="I429" s="348"/>
      <c r="J429" s="348"/>
      <c r="K429" s="348"/>
      <c r="L429" s="348"/>
      <c r="M429" s="348"/>
      <c r="N429" s="348"/>
      <c r="O429" s="348"/>
      <c r="P429" s="348"/>
      <c r="Q429" s="348"/>
    </row>
    <row r="430" spans="9:17" s="349" customFormat="1">
      <c r="I430" s="348"/>
      <c r="J430" s="348"/>
      <c r="K430" s="348"/>
      <c r="L430" s="348"/>
      <c r="M430" s="348"/>
      <c r="N430" s="348"/>
      <c r="O430" s="348"/>
      <c r="P430" s="348"/>
      <c r="Q430" s="348"/>
    </row>
    <row r="431" spans="9:17" s="349" customFormat="1">
      <c r="I431" s="348"/>
      <c r="J431" s="348"/>
      <c r="K431" s="348"/>
      <c r="L431" s="348"/>
      <c r="M431" s="348"/>
      <c r="N431" s="348"/>
      <c r="O431" s="348"/>
      <c r="P431" s="348"/>
      <c r="Q431" s="348"/>
    </row>
    <row r="432" spans="9:17" s="349" customFormat="1">
      <c r="I432" s="348"/>
      <c r="J432" s="348"/>
      <c r="K432" s="348"/>
      <c r="L432" s="348"/>
      <c r="M432" s="348"/>
      <c r="N432" s="348"/>
      <c r="O432" s="348"/>
      <c r="P432" s="348"/>
      <c r="Q432" s="348"/>
    </row>
    <row r="433" spans="9:17" s="349" customFormat="1">
      <c r="I433" s="348"/>
      <c r="J433" s="348"/>
      <c r="K433" s="348"/>
      <c r="L433" s="348"/>
      <c r="M433" s="348"/>
      <c r="N433" s="348"/>
      <c r="O433" s="348"/>
      <c r="P433" s="348"/>
      <c r="Q433" s="348"/>
    </row>
    <row r="434" spans="9:17" s="349" customFormat="1">
      <c r="I434" s="348"/>
      <c r="J434" s="348"/>
      <c r="K434" s="348"/>
      <c r="L434" s="348"/>
      <c r="M434" s="348"/>
      <c r="N434" s="348"/>
      <c r="O434" s="348"/>
      <c r="P434" s="348"/>
      <c r="Q434" s="348"/>
    </row>
    <row r="435" spans="9:17" s="349" customFormat="1">
      <c r="I435" s="348"/>
      <c r="J435" s="348"/>
      <c r="K435" s="348"/>
      <c r="L435" s="348"/>
      <c r="M435" s="348"/>
      <c r="N435" s="348"/>
      <c r="O435" s="348"/>
      <c r="P435" s="348"/>
      <c r="Q435" s="348"/>
    </row>
    <row r="436" spans="9:17" s="349" customFormat="1">
      <c r="I436" s="348"/>
      <c r="J436" s="348"/>
      <c r="K436" s="348"/>
      <c r="L436" s="348"/>
      <c r="M436" s="348"/>
      <c r="N436" s="348"/>
      <c r="O436" s="348"/>
      <c r="P436" s="348"/>
      <c r="Q436" s="348"/>
    </row>
    <row r="437" spans="9:17" s="349" customFormat="1">
      <c r="I437" s="348"/>
      <c r="J437" s="348"/>
      <c r="K437" s="348"/>
      <c r="L437" s="348"/>
      <c r="M437" s="348"/>
      <c r="N437" s="348"/>
      <c r="O437" s="348"/>
      <c r="P437" s="348"/>
      <c r="Q437" s="348"/>
    </row>
    <row r="438" spans="9:17" s="349" customFormat="1">
      <c r="I438" s="348"/>
      <c r="J438" s="348"/>
      <c r="K438" s="348"/>
      <c r="L438" s="348"/>
      <c r="M438" s="348"/>
      <c r="N438" s="348"/>
      <c r="O438" s="348"/>
      <c r="P438" s="348"/>
      <c r="Q438" s="348"/>
    </row>
    <row r="439" spans="9:17" s="349" customFormat="1">
      <c r="I439" s="348"/>
      <c r="J439" s="348"/>
      <c r="K439" s="348"/>
      <c r="L439" s="348"/>
      <c r="M439" s="348"/>
      <c r="N439" s="348"/>
      <c r="O439" s="348"/>
      <c r="P439" s="348"/>
      <c r="Q439" s="348"/>
    </row>
    <row r="440" spans="9:17" s="349" customFormat="1">
      <c r="I440" s="348"/>
      <c r="J440" s="348"/>
      <c r="K440" s="348"/>
      <c r="L440" s="348"/>
      <c r="M440" s="348"/>
      <c r="N440" s="348"/>
      <c r="O440" s="348"/>
      <c r="P440" s="348"/>
      <c r="Q440" s="348"/>
    </row>
    <row r="441" spans="9:17" s="349" customFormat="1">
      <c r="I441" s="348"/>
      <c r="J441" s="348"/>
      <c r="K441" s="348"/>
      <c r="L441" s="348"/>
      <c r="M441" s="348"/>
      <c r="N441" s="348"/>
      <c r="O441" s="348"/>
      <c r="P441" s="348"/>
      <c r="Q441" s="348"/>
    </row>
    <row r="442" spans="9:17" s="349" customFormat="1">
      <c r="I442" s="348"/>
      <c r="J442" s="348"/>
      <c r="K442" s="348"/>
      <c r="L442" s="348"/>
      <c r="M442" s="348"/>
      <c r="N442" s="348"/>
      <c r="O442" s="348"/>
      <c r="P442" s="348"/>
      <c r="Q442" s="348"/>
    </row>
    <row r="443" spans="9:17" s="349" customFormat="1">
      <c r="I443" s="348"/>
      <c r="J443" s="348"/>
      <c r="K443" s="348"/>
      <c r="L443" s="348"/>
      <c r="M443" s="348"/>
      <c r="N443" s="348"/>
      <c r="O443" s="348"/>
      <c r="P443" s="348"/>
      <c r="Q443" s="348"/>
    </row>
    <row r="444" spans="9:17" s="349" customFormat="1">
      <c r="I444" s="348"/>
      <c r="J444" s="348"/>
      <c r="K444" s="348"/>
      <c r="L444" s="348"/>
      <c r="M444" s="348"/>
      <c r="N444" s="348"/>
      <c r="O444" s="348"/>
      <c r="P444" s="348"/>
      <c r="Q444" s="348"/>
    </row>
    <row r="445" spans="9:17" s="349" customFormat="1">
      <c r="I445" s="348"/>
      <c r="J445" s="348"/>
      <c r="K445" s="348"/>
      <c r="L445" s="348"/>
      <c r="M445" s="348"/>
      <c r="N445" s="348"/>
      <c r="O445" s="348"/>
      <c r="P445" s="348"/>
      <c r="Q445" s="348"/>
    </row>
    <row r="446" spans="9:17" s="349" customFormat="1">
      <c r="I446" s="348"/>
      <c r="J446" s="348"/>
      <c r="K446" s="348"/>
      <c r="L446" s="348"/>
      <c r="M446" s="348"/>
      <c r="N446" s="348"/>
      <c r="O446" s="348"/>
      <c r="P446" s="348"/>
      <c r="Q446" s="348"/>
    </row>
    <row r="447" spans="9:17" s="349" customFormat="1">
      <c r="I447" s="348"/>
      <c r="J447" s="348"/>
      <c r="K447" s="348"/>
      <c r="L447" s="348"/>
      <c r="M447" s="348"/>
      <c r="N447" s="348"/>
      <c r="O447" s="348"/>
      <c r="P447" s="348"/>
      <c r="Q447" s="348"/>
    </row>
    <row r="448" spans="9:17" s="349" customFormat="1">
      <c r="I448" s="348"/>
      <c r="J448" s="348"/>
      <c r="K448" s="348"/>
      <c r="L448" s="348"/>
      <c r="M448" s="348"/>
      <c r="N448" s="348"/>
      <c r="O448" s="348"/>
      <c r="P448" s="348"/>
      <c r="Q448" s="348"/>
    </row>
    <row r="449" spans="9:17" s="349" customFormat="1">
      <c r="I449" s="348"/>
      <c r="J449" s="348"/>
      <c r="K449" s="348"/>
      <c r="L449" s="348"/>
      <c r="M449" s="348"/>
      <c r="N449" s="348"/>
      <c r="O449" s="348"/>
      <c r="P449" s="348"/>
      <c r="Q449" s="348"/>
    </row>
    <row r="450" spans="9:17" s="349" customFormat="1">
      <c r="I450" s="348"/>
      <c r="J450" s="348"/>
      <c r="K450" s="348"/>
      <c r="L450" s="348"/>
      <c r="M450" s="348"/>
      <c r="N450" s="348"/>
      <c r="O450" s="348"/>
      <c r="P450" s="348"/>
      <c r="Q450" s="348"/>
    </row>
    <row r="451" spans="9:17" s="349" customFormat="1">
      <c r="I451" s="348"/>
      <c r="J451" s="348"/>
      <c r="K451" s="348"/>
      <c r="L451" s="348"/>
      <c r="M451" s="348"/>
      <c r="N451" s="348"/>
      <c r="O451" s="348"/>
      <c r="P451" s="348"/>
      <c r="Q451" s="348"/>
    </row>
    <row r="452" spans="9:17" s="349" customFormat="1">
      <c r="I452" s="348"/>
      <c r="J452" s="348"/>
      <c r="K452" s="348"/>
      <c r="L452" s="348"/>
      <c r="M452" s="348"/>
      <c r="N452" s="348"/>
      <c r="O452" s="348"/>
      <c r="P452" s="348"/>
      <c r="Q452" s="348"/>
    </row>
    <row r="453" spans="9:17" s="349" customFormat="1">
      <c r="I453" s="348"/>
      <c r="J453" s="348"/>
      <c r="K453" s="348"/>
      <c r="L453" s="348"/>
      <c r="M453" s="348"/>
      <c r="N453" s="348"/>
      <c r="O453" s="348"/>
      <c r="P453" s="348"/>
      <c r="Q453" s="348"/>
    </row>
    <row r="454" spans="9:17" s="349" customFormat="1">
      <c r="I454" s="348"/>
      <c r="J454" s="348"/>
      <c r="K454" s="348"/>
      <c r="L454" s="348"/>
      <c r="M454" s="348"/>
      <c r="N454" s="348"/>
      <c r="O454" s="348"/>
      <c r="P454" s="348"/>
      <c r="Q454" s="348"/>
    </row>
    <row r="455" spans="9:17" s="349" customFormat="1">
      <c r="I455" s="348"/>
      <c r="J455" s="348"/>
      <c r="K455" s="348"/>
      <c r="L455" s="348"/>
      <c r="M455" s="348"/>
      <c r="N455" s="348"/>
      <c r="O455" s="348"/>
      <c r="P455" s="348"/>
      <c r="Q455" s="348"/>
    </row>
    <row r="456" spans="9:17" s="349" customFormat="1">
      <c r="I456" s="348"/>
      <c r="J456" s="348"/>
      <c r="K456" s="348"/>
      <c r="L456" s="348"/>
      <c r="M456" s="348"/>
      <c r="N456" s="348"/>
      <c r="O456" s="348"/>
      <c r="P456" s="348"/>
      <c r="Q456" s="348"/>
    </row>
    <row r="457" spans="9:17" s="349" customFormat="1">
      <c r="I457" s="348"/>
      <c r="J457" s="348"/>
      <c r="K457" s="348"/>
      <c r="L457" s="348"/>
      <c r="M457" s="348"/>
      <c r="N457" s="348"/>
      <c r="O457" s="348"/>
      <c r="P457" s="348"/>
      <c r="Q457" s="348"/>
    </row>
    <row r="458" spans="9:17" s="349" customFormat="1">
      <c r="I458" s="348"/>
      <c r="J458" s="348"/>
      <c r="K458" s="348"/>
      <c r="L458" s="348"/>
      <c r="M458" s="348"/>
      <c r="N458" s="348"/>
      <c r="O458" s="348"/>
      <c r="P458" s="348"/>
      <c r="Q458" s="348"/>
    </row>
    <row r="459" spans="9:17" s="349" customFormat="1">
      <c r="I459" s="348"/>
      <c r="J459" s="348"/>
      <c r="K459" s="348"/>
      <c r="L459" s="348"/>
      <c r="M459" s="348"/>
      <c r="N459" s="348"/>
      <c r="O459" s="348"/>
      <c r="P459" s="348"/>
      <c r="Q459" s="348"/>
    </row>
    <row r="460" spans="9:17" s="349" customFormat="1">
      <c r="I460" s="348"/>
      <c r="J460" s="348"/>
      <c r="K460" s="348"/>
      <c r="L460" s="348"/>
      <c r="M460" s="348"/>
      <c r="N460" s="348"/>
      <c r="O460" s="348"/>
      <c r="P460" s="348"/>
      <c r="Q460" s="348"/>
    </row>
    <row r="461" spans="9:17" s="349" customFormat="1">
      <c r="I461" s="348"/>
      <c r="J461" s="348"/>
      <c r="K461" s="348"/>
      <c r="L461" s="348"/>
      <c r="M461" s="348"/>
      <c r="N461" s="348"/>
      <c r="O461" s="348"/>
      <c r="P461" s="348"/>
      <c r="Q461" s="348"/>
    </row>
    <row r="462" spans="9:17" s="349" customFormat="1">
      <c r="I462" s="348"/>
      <c r="J462" s="348"/>
      <c r="K462" s="348"/>
      <c r="L462" s="348"/>
      <c r="M462" s="348"/>
      <c r="N462" s="348"/>
      <c r="O462" s="348"/>
      <c r="P462" s="348"/>
      <c r="Q462" s="348"/>
    </row>
    <row r="463" spans="9:17" s="349" customFormat="1">
      <c r="I463" s="348"/>
      <c r="J463" s="348"/>
      <c r="K463" s="348"/>
      <c r="L463" s="348"/>
      <c r="M463" s="348"/>
      <c r="N463" s="348"/>
      <c r="O463" s="348"/>
      <c r="P463" s="348"/>
      <c r="Q463" s="348"/>
    </row>
    <row r="464" spans="9:17" s="349" customFormat="1">
      <c r="I464" s="348"/>
      <c r="J464" s="348"/>
      <c r="K464" s="348"/>
      <c r="L464" s="348"/>
      <c r="M464" s="348"/>
      <c r="N464" s="348"/>
      <c r="O464" s="348"/>
      <c r="P464" s="348"/>
      <c r="Q464" s="348"/>
    </row>
    <row r="465" spans="9:17" s="349" customFormat="1">
      <c r="I465" s="348"/>
      <c r="J465" s="348"/>
      <c r="K465" s="348"/>
      <c r="L465" s="348"/>
      <c r="M465" s="348"/>
      <c r="N465" s="348"/>
      <c r="O465" s="348"/>
      <c r="P465" s="348"/>
      <c r="Q465" s="348"/>
    </row>
    <row r="466" spans="9:17" s="349" customFormat="1">
      <c r="I466" s="348"/>
      <c r="J466" s="348"/>
      <c r="K466" s="348"/>
      <c r="L466" s="348"/>
      <c r="M466" s="348"/>
      <c r="N466" s="348"/>
      <c r="O466" s="348"/>
      <c r="P466" s="348"/>
      <c r="Q466" s="348"/>
    </row>
    <row r="467" spans="9:17" s="349" customFormat="1">
      <c r="I467" s="348"/>
      <c r="J467" s="348"/>
      <c r="K467" s="348"/>
      <c r="L467" s="348"/>
      <c r="M467" s="348"/>
      <c r="N467" s="348"/>
      <c r="O467" s="348"/>
      <c r="P467" s="348"/>
      <c r="Q467" s="348"/>
    </row>
    <row r="468" spans="9:17" s="349" customFormat="1">
      <c r="I468" s="348"/>
      <c r="J468" s="348"/>
      <c r="K468" s="348"/>
      <c r="L468" s="348"/>
      <c r="M468" s="348"/>
      <c r="N468" s="348"/>
      <c r="O468" s="348"/>
      <c r="P468" s="348"/>
      <c r="Q468" s="348"/>
    </row>
    <row r="469" spans="9:17" s="349" customFormat="1">
      <c r="I469" s="348"/>
      <c r="J469" s="348"/>
      <c r="K469" s="348"/>
      <c r="L469" s="348"/>
      <c r="M469" s="348"/>
      <c r="N469" s="348"/>
      <c r="O469" s="348"/>
      <c r="P469" s="348"/>
      <c r="Q469" s="348"/>
    </row>
    <row r="470" spans="9:17" s="349" customFormat="1">
      <c r="I470" s="348"/>
      <c r="J470" s="348"/>
      <c r="K470" s="348"/>
      <c r="L470" s="348"/>
      <c r="M470" s="348"/>
      <c r="N470" s="348"/>
      <c r="O470" s="348"/>
      <c r="P470" s="348"/>
      <c r="Q470" s="348"/>
    </row>
    <row r="471" spans="9:17" s="349" customFormat="1">
      <c r="I471" s="348"/>
      <c r="J471" s="348"/>
      <c r="K471" s="348"/>
      <c r="L471" s="348"/>
      <c r="M471" s="348"/>
      <c r="N471" s="348"/>
      <c r="O471" s="348"/>
      <c r="P471" s="348"/>
      <c r="Q471" s="348"/>
    </row>
    <row r="472" spans="9:17" s="349" customFormat="1">
      <c r="I472" s="348"/>
      <c r="J472" s="348"/>
      <c r="K472" s="348"/>
      <c r="L472" s="348"/>
      <c r="M472" s="348"/>
      <c r="N472" s="348"/>
      <c r="O472" s="348"/>
      <c r="P472" s="348"/>
      <c r="Q472" s="348"/>
    </row>
    <row r="473" spans="9:17" s="349" customFormat="1">
      <c r="I473" s="348"/>
      <c r="J473" s="348"/>
      <c r="K473" s="348"/>
      <c r="L473" s="348"/>
      <c r="M473" s="348"/>
      <c r="N473" s="348"/>
      <c r="O473" s="348"/>
      <c r="P473" s="348"/>
      <c r="Q473" s="348"/>
    </row>
    <row r="474" spans="9:17" s="349" customFormat="1">
      <c r="I474" s="348"/>
      <c r="J474" s="348"/>
      <c r="K474" s="348"/>
      <c r="L474" s="348"/>
      <c r="M474" s="348"/>
      <c r="N474" s="348"/>
      <c r="O474" s="348"/>
      <c r="P474" s="348"/>
      <c r="Q474" s="348"/>
    </row>
    <row r="475" spans="9:17" s="349" customFormat="1">
      <c r="I475" s="348"/>
      <c r="J475" s="348"/>
      <c r="K475" s="348"/>
      <c r="L475" s="348"/>
      <c r="M475" s="348"/>
      <c r="N475" s="348"/>
      <c r="O475" s="348"/>
      <c r="P475" s="348"/>
      <c r="Q475" s="348"/>
    </row>
    <row r="476" spans="9:17" s="349" customFormat="1">
      <c r="I476" s="348"/>
      <c r="J476" s="348"/>
      <c r="K476" s="348"/>
      <c r="L476" s="348"/>
      <c r="M476" s="348"/>
      <c r="N476" s="348"/>
      <c r="O476" s="348"/>
      <c r="P476" s="348"/>
      <c r="Q476" s="348"/>
    </row>
    <row r="477" spans="9:17" s="349" customFormat="1">
      <c r="I477" s="348"/>
      <c r="J477" s="348"/>
      <c r="K477" s="348"/>
      <c r="L477" s="348"/>
      <c r="M477" s="348"/>
      <c r="N477" s="348"/>
      <c r="O477" s="348"/>
      <c r="P477" s="348"/>
      <c r="Q477" s="348"/>
    </row>
    <row r="478" spans="9:17" s="349" customFormat="1">
      <c r="I478" s="348"/>
      <c r="J478" s="348"/>
      <c r="K478" s="348"/>
      <c r="L478" s="348"/>
      <c r="M478" s="348"/>
      <c r="N478" s="348"/>
      <c r="O478" s="348"/>
      <c r="P478" s="348"/>
      <c r="Q478" s="348"/>
    </row>
    <row r="479" spans="9:17" s="349" customFormat="1">
      <c r="I479" s="348"/>
      <c r="J479" s="348"/>
      <c r="K479" s="348"/>
      <c r="L479" s="348"/>
      <c r="M479" s="348"/>
      <c r="N479" s="348"/>
      <c r="O479" s="348"/>
      <c r="P479" s="348"/>
      <c r="Q479" s="348"/>
    </row>
    <row r="480" spans="9:17" s="349" customFormat="1">
      <c r="I480" s="348"/>
      <c r="J480" s="348"/>
      <c r="K480" s="348"/>
      <c r="L480" s="348"/>
      <c r="M480" s="348"/>
      <c r="N480" s="348"/>
      <c r="O480" s="348"/>
      <c r="P480" s="348"/>
      <c r="Q480" s="348"/>
    </row>
    <row r="481" spans="9:17" s="349" customFormat="1">
      <c r="I481" s="348"/>
      <c r="J481" s="348"/>
      <c r="K481" s="348"/>
      <c r="L481" s="348"/>
      <c r="M481" s="348"/>
      <c r="N481" s="348"/>
      <c r="O481" s="348"/>
      <c r="P481" s="348"/>
      <c r="Q481" s="348"/>
    </row>
    <row r="482" spans="9:17" s="349" customFormat="1">
      <c r="I482" s="348"/>
      <c r="J482" s="348"/>
      <c r="K482" s="348"/>
      <c r="L482" s="348"/>
      <c r="M482" s="348"/>
      <c r="N482" s="348"/>
      <c r="O482" s="348"/>
      <c r="P482" s="348"/>
      <c r="Q482" s="348"/>
    </row>
    <row r="483" spans="9:17" s="349" customFormat="1">
      <c r="I483" s="348"/>
      <c r="J483" s="348"/>
      <c r="K483" s="348"/>
      <c r="L483" s="348"/>
      <c r="M483" s="348"/>
      <c r="N483" s="348"/>
      <c r="O483" s="348"/>
      <c r="P483" s="348"/>
      <c r="Q483" s="348"/>
    </row>
    <row r="484" spans="9:17" s="349" customFormat="1">
      <c r="I484" s="348"/>
      <c r="J484" s="348"/>
      <c r="K484" s="348"/>
      <c r="L484" s="348"/>
      <c r="M484" s="348"/>
      <c r="N484" s="348"/>
      <c r="O484" s="348"/>
      <c r="P484" s="348"/>
      <c r="Q484" s="348"/>
    </row>
    <row r="485" spans="9:17" s="349" customFormat="1">
      <c r="I485" s="348"/>
      <c r="J485" s="348"/>
      <c r="K485" s="348"/>
      <c r="L485" s="348"/>
      <c r="M485" s="348"/>
      <c r="N485" s="348"/>
      <c r="O485" s="348"/>
      <c r="P485" s="348"/>
      <c r="Q485" s="348"/>
    </row>
    <row r="486" spans="9:17" s="349" customFormat="1">
      <c r="I486" s="348"/>
      <c r="J486" s="348"/>
      <c r="K486" s="348"/>
      <c r="L486" s="348"/>
      <c r="M486" s="348"/>
      <c r="N486" s="348"/>
      <c r="O486" s="348"/>
      <c r="P486" s="348"/>
      <c r="Q486" s="348"/>
    </row>
    <row r="487" spans="9:17" s="349" customFormat="1">
      <c r="I487" s="348"/>
      <c r="J487" s="348"/>
      <c r="K487" s="348"/>
      <c r="L487" s="348"/>
      <c r="M487" s="348"/>
      <c r="N487" s="348"/>
      <c r="O487" s="348"/>
      <c r="P487" s="348"/>
      <c r="Q487" s="348"/>
    </row>
    <row r="488" spans="9:17" s="349" customFormat="1">
      <c r="I488" s="348"/>
      <c r="J488" s="348"/>
      <c r="K488" s="348"/>
      <c r="L488" s="348"/>
      <c r="M488" s="348"/>
      <c r="N488" s="348"/>
      <c r="O488" s="348"/>
      <c r="P488" s="348"/>
      <c r="Q488" s="348"/>
    </row>
    <row r="489" spans="9:17" s="349" customFormat="1">
      <c r="I489" s="348"/>
      <c r="J489" s="348"/>
      <c r="K489" s="348"/>
      <c r="L489" s="348"/>
      <c r="M489" s="348"/>
      <c r="N489" s="348"/>
      <c r="O489" s="348"/>
      <c r="P489" s="348"/>
      <c r="Q489" s="348"/>
    </row>
    <row r="490" spans="9:17" s="349" customFormat="1">
      <c r="I490" s="348"/>
      <c r="J490" s="348"/>
      <c r="K490" s="348"/>
      <c r="L490" s="348"/>
      <c r="M490" s="348"/>
      <c r="N490" s="348"/>
      <c r="O490" s="348"/>
      <c r="P490" s="348"/>
      <c r="Q490" s="348"/>
    </row>
    <row r="491" spans="9:17" s="349" customFormat="1">
      <c r="I491" s="348"/>
      <c r="J491" s="348"/>
      <c r="K491" s="348"/>
      <c r="L491" s="348"/>
      <c r="M491" s="348"/>
      <c r="N491" s="348"/>
      <c r="O491" s="348"/>
      <c r="P491" s="348"/>
      <c r="Q491" s="348"/>
    </row>
    <row r="492" spans="9:17" s="349" customFormat="1">
      <c r="I492" s="348"/>
      <c r="J492" s="348"/>
      <c r="K492" s="348"/>
      <c r="L492" s="348"/>
      <c r="M492" s="348"/>
      <c r="N492" s="348"/>
      <c r="O492" s="348"/>
      <c r="P492" s="348"/>
      <c r="Q492" s="348"/>
    </row>
    <row r="493" spans="9:17" s="349" customFormat="1">
      <c r="I493" s="348"/>
      <c r="J493" s="348"/>
      <c r="K493" s="348"/>
      <c r="L493" s="348"/>
      <c r="M493" s="348"/>
      <c r="N493" s="348"/>
      <c r="O493" s="348"/>
      <c r="P493" s="348"/>
      <c r="Q493" s="348"/>
    </row>
    <row r="494" spans="9:17" s="349" customFormat="1">
      <c r="I494" s="348"/>
      <c r="J494" s="348"/>
      <c r="K494" s="348"/>
      <c r="L494" s="348"/>
      <c r="M494" s="348"/>
      <c r="N494" s="348"/>
      <c r="O494" s="348"/>
      <c r="P494" s="348"/>
      <c r="Q494" s="348"/>
    </row>
    <row r="495" spans="9:17" s="349" customFormat="1">
      <c r="I495" s="348"/>
      <c r="J495" s="348"/>
      <c r="K495" s="348"/>
      <c r="L495" s="348"/>
      <c r="M495" s="348"/>
      <c r="N495" s="348"/>
      <c r="O495" s="348"/>
      <c r="P495" s="348"/>
      <c r="Q495" s="348"/>
    </row>
    <row r="496" spans="9:17" s="349" customFormat="1">
      <c r="I496" s="348"/>
      <c r="J496" s="348"/>
      <c r="K496" s="348"/>
      <c r="L496" s="348"/>
      <c r="M496" s="348"/>
      <c r="N496" s="348"/>
      <c r="O496" s="348"/>
      <c r="P496" s="348"/>
      <c r="Q496" s="348"/>
    </row>
    <row r="497" spans="9:17" s="349" customFormat="1">
      <c r="I497" s="348"/>
      <c r="J497" s="348"/>
      <c r="K497" s="348"/>
      <c r="L497" s="348"/>
      <c r="M497" s="348"/>
      <c r="N497" s="348"/>
      <c r="O497" s="348"/>
      <c r="P497" s="348"/>
      <c r="Q497" s="348"/>
    </row>
    <row r="498" spans="9:17" s="349" customFormat="1">
      <c r="I498" s="348"/>
      <c r="J498" s="348"/>
      <c r="K498" s="348"/>
      <c r="L498" s="348"/>
      <c r="M498" s="348"/>
      <c r="N498" s="348"/>
      <c r="O498" s="348"/>
      <c r="P498" s="348"/>
      <c r="Q498" s="348"/>
    </row>
    <row r="499" spans="9:17" s="349" customFormat="1">
      <c r="I499" s="348"/>
      <c r="J499" s="348"/>
      <c r="K499" s="348"/>
      <c r="L499" s="348"/>
      <c r="M499" s="348"/>
      <c r="N499" s="348"/>
      <c r="O499" s="348"/>
      <c r="P499" s="348"/>
      <c r="Q499" s="348"/>
    </row>
    <row r="500" spans="9:17" s="349" customFormat="1">
      <c r="I500" s="348"/>
      <c r="J500" s="348"/>
      <c r="K500" s="348"/>
      <c r="L500" s="348"/>
      <c r="M500" s="348"/>
      <c r="N500" s="348"/>
      <c r="O500" s="348"/>
      <c r="P500" s="348"/>
      <c r="Q500" s="348"/>
    </row>
    <row r="501" spans="9:17" s="349" customFormat="1">
      <c r="I501" s="348"/>
      <c r="J501" s="348"/>
      <c r="K501" s="348"/>
      <c r="L501" s="348"/>
      <c r="M501" s="348"/>
      <c r="N501" s="348"/>
      <c r="O501" s="348"/>
      <c r="P501" s="348"/>
      <c r="Q501" s="348"/>
    </row>
    <row r="502" spans="9:17" s="349" customFormat="1">
      <c r="I502" s="348"/>
      <c r="J502" s="348"/>
      <c r="K502" s="348"/>
      <c r="L502" s="348"/>
      <c r="M502" s="348"/>
      <c r="N502" s="348"/>
      <c r="O502" s="348"/>
      <c r="P502" s="348"/>
      <c r="Q502" s="348"/>
    </row>
    <row r="503" spans="9:17" s="349" customFormat="1">
      <c r="I503" s="348"/>
      <c r="J503" s="348"/>
      <c r="K503" s="348"/>
      <c r="L503" s="348"/>
      <c r="M503" s="348"/>
      <c r="N503" s="348"/>
      <c r="O503" s="348"/>
      <c r="P503" s="348"/>
      <c r="Q503" s="348"/>
    </row>
    <row r="504" spans="9:17" s="349" customFormat="1">
      <c r="I504" s="348"/>
      <c r="J504" s="348"/>
      <c r="K504" s="348"/>
      <c r="L504" s="348"/>
      <c r="M504" s="348"/>
      <c r="N504" s="348"/>
      <c r="O504" s="348"/>
      <c r="P504" s="348"/>
      <c r="Q504" s="348"/>
    </row>
    <row r="505" spans="9:17" s="349" customFormat="1">
      <c r="I505" s="348"/>
      <c r="J505" s="348"/>
      <c r="K505" s="348"/>
      <c r="L505" s="348"/>
      <c r="M505" s="348"/>
      <c r="N505" s="348"/>
      <c r="O505" s="348"/>
      <c r="P505" s="348"/>
      <c r="Q505" s="348"/>
    </row>
    <row r="506" spans="9:17" s="349" customFormat="1">
      <c r="I506" s="348"/>
      <c r="J506" s="348"/>
      <c r="K506" s="348"/>
      <c r="L506" s="348"/>
      <c r="M506" s="348"/>
      <c r="N506" s="348"/>
      <c r="O506" s="348"/>
      <c r="P506" s="348"/>
      <c r="Q506" s="348"/>
    </row>
    <row r="507" spans="9:17" s="349" customFormat="1">
      <c r="I507" s="348"/>
      <c r="J507" s="348"/>
      <c r="K507" s="348"/>
      <c r="L507" s="348"/>
      <c r="M507" s="348"/>
      <c r="N507" s="348"/>
      <c r="O507" s="348"/>
      <c r="P507" s="348"/>
      <c r="Q507" s="348"/>
    </row>
    <row r="508" spans="9:17" s="349" customFormat="1">
      <c r="I508" s="348"/>
      <c r="J508" s="348"/>
      <c r="K508" s="348"/>
      <c r="L508" s="348"/>
      <c r="M508" s="348"/>
      <c r="N508" s="348"/>
      <c r="O508" s="348"/>
      <c r="P508" s="348"/>
      <c r="Q508" s="348"/>
    </row>
    <row r="509" spans="9:17" s="349" customFormat="1">
      <c r="I509" s="348"/>
      <c r="J509" s="348"/>
      <c r="K509" s="348"/>
      <c r="L509" s="348"/>
      <c r="M509" s="348"/>
      <c r="N509" s="348"/>
      <c r="O509" s="348"/>
      <c r="P509" s="348"/>
      <c r="Q509" s="348"/>
    </row>
    <row r="510" spans="9:17" s="349" customFormat="1">
      <c r="I510" s="348"/>
      <c r="J510" s="348"/>
      <c r="K510" s="348"/>
      <c r="L510" s="348"/>
      <c r="M510" s="348"/>
      <c r="N510" s="348"/>
      <c r="O510" s="348"/>
      <c r="P510" s="348"/>
      <c r="Q510" s="348"/>
    </row>
    <row r="511" spans="9:17" s="349" customFormat="1">
      <c r="I511" s="348"/>
      <c r="J511" s="348"/>
      <c r="K511" s="348"/>
      <c r="L511" s="348"/>
      <c r="M511" s="348"/>
      <c r="N511" s="348"/>
      <c r="O511" s="348"/>
      <c r="P511" s="348"/>
      <c r="Q511" s="348"/>
    </row>
    <row r="512" spans="9:17" s="349" customFormat="1">
      <c r="I512" s="348"/>
      <c r="J512" s="348"/>
      <c r="K512" s="348"/>
      <c r="L512" s="348"/>
      <c r="M512" s="348"/>
      <c r="N512" s="348"/>
      <c r="O512" s="348"/>
      <c r="P512" s="348"/>
      <c r="Q512" s="348"/>
    </row>
    <row r="513" spans="9:17" s="349" customFormat="1">
      <c r="I513" s="348"/>
      <c r="J513" s="348"/>
      <c r="K513" s="348"/>
      <c r="L513" s="348"/>
      <c r="M513" s="348"/>
      <c r="N513" s="348"/>
      <c r="O513" s="348"/>
      <c r="P513" s="348"/>
      <c r="Q513" s="348"/>
    </row>
    <row r="514" spans="9:17" s="349" customFormat="1">
      <c r="I514" s="348"/>
      <c r="J514" s="348"/>
      <c r="K514" s="348"/>
      <c r="L514" s="348"/>
      <c r="M514" s="348"/>
      <c r="N514" s="348"/>
      <c r="O514" s="348"/>
      <c r="P514" s="348"/>
      <c r="Q514" s="348"/>
    </row>
    <row r="515" spans="9:17" s="349" customFormat="1">
      <c r="I515" s="348"/>
      <c r="J515" s="348"/>
      <c r="K515" s="348"/>
      <c r="L515" s="348"/>
      <c r="M515" s="348"/>
      <c r="N515" s="348"/>
      <c r="O515" s="348"/>
      <c r="P515" s="348"/>
      <c r="Q515" s="348"/>
    </row>
    <row r="516" spans="9:17" s="349" customFormat="1">
      <c r="I516" s="348"/>
      <c r="J516" s="348"/>
      <c r="K516" s="348"/>
      <c r="L516" s="348"/>
      <c r="M516" s="348"/>
      <c r="N516" s="348"/>
      <c r="O516" s="348"/>
      <c r="P516" s="348"/>
      <c r="Q516" s="348"/>
    </row>
    <row r="517" spans="9:17" s="349" customFormat="1">
      <c r="I517" s="348"/>
      <c r="J517" s="348"/>
      <c r="K517" s="348"/>
      <c r="L517" s="348"/>
      <c r="M517" s="348"/>
      <c r="N517" s="348"/>
      <c r="O517" s="348"/>
      <c r="P517" s="348"/>
      <c r="Q517" s="348"/>
    </row>
    <row r="518" spans="9:17" s="349" customFormat="1">
      <c r="I518" s="348"/>
      <c r="J518" s="348"/>
      <c r="K518" s="348"/>
      <c r="L518" s="348"/>
      <c r="M518" s="348"/>
      <c r="N518" s="348"/>
      <c r="O518" s="348"/>
      <c r="P518" s="348"/>
      <c r="Q518" s="348"/>
    </row>
    <row r="519" spans="9:17" s="349" customFormat="1">
      <c r="I519" s="348"/>
      <c r="J519" s="348"/>
      <c r="K519" s="348"/>
      <c r="L519" s="348"/>
      <c r="M519" s="348"/>
      <c r="N519" s="348"/>
      <c r="O519" s="348"/>
      <c r="P519" s="348"/>
      <c r="Q519" s="348"/>
    </row>
    <row r="520" spans="9:17" s="349" customFormat="1">
      <c r="I520" s="348"/>
      <c r="J520" s="348"/>
      <c r="K520" s="348"/>
      <c r="L520" s="348"/>
      <c r="M520" s="348"/>
      <c r="N520" s="348"/>
      <c r="O520" s="348"/>
      <c r="P520" s="348"/>
      <c r="Q520" s="348"/>
    </row>
    <row r="521" spans="9:17" s="349" customFormat="1">
      <c r="I521" s="348"/>
      <c r="J521" s="348"/>
      <c r="K521" s="348"/>
      <c r="L521" s="348"/>
      <c r="M521" s="348"/>
      <c r="N521" s="348"/>
      <c r="O521" s="348"/>
      <c r="P521" s="348"/>
      <c r="Q521" s="348"/>
    </row>
    <row r="522" spans="9:17" s="349" customFormat="1">
      <c r="I522" s="348"/>
      <c r="J522" s="348"/>
      <c r="K522" s="348"/>
      <c r="L522" s="348"/>
      <c r="M522" s="348"/>
      <c r="N522" s="348"/>
      <c r="O522" s="348"/>
      <c r="P522" s="348"/>
      <c r="Q522" s="348"/>
    </row>
    <row r="523" spans="9:17" s="349" customFormat="1">
      <c r="I523" s="348"/>
      <c r="J523" s="348"/>
      <c r="K523" s="348"/>
      <c r="L523" s="348"/>
      <c r="M523" s="348"/>
      <c r="N523" s="348"/>
      <c r="O523" s="348"/>
      <c r="P523" s="348"/>
      <c r="Q523" s="348"/>
    </row>
    <row r="524" spans="9:17" s="349" customFormat="1">
      <c r="I524" s="348"/>
      <c r="J524" s="348"/>
      <c r="K524" s="348"/>
      <c r="L524" s="348"/>
      <c r="M524" s="348"/>
      <c r="N524" s="348"/>
      <c r="O524" s="348"/>
      <c r="P524" s="348"/>
      <c r="Q524" s="348"/>
    </row>
    <row r="525" spans="9:17" s="349" customFormat="1">
      <c r="I525" s="348"/>
      <c r="J525" s="348"/>
      <c r="K525" s="348"/>
      <c r="L525" s="348"/>
      <c r="M525" s="348"/>
      <c r="N525" s="348"/>
      <c r="O525" s="348"/>
      <c r="P525" s="348"/>
      <c r="Q525" s="348"/>
    </row>
    <row r="526" spans="9:17" s="349" customFormat="1">
      <c r="I526" s="348"/>
      <c r="J526" s="348"/>
      <c r="K526" s="348"/>
      <c r="L526" s="348"/>
      <c r="M526" s="348"/>
      <c r="N526" s="348"/>
      <c r="O526" s="348"/>
      <c r="P526" s="348"/>
      <c r="Q526" s="348"/>
    </row>
    <row r="527" spans="9:17" s="349" customFormat="1">
      <c r="I527" s="348"/>
      <c r="J527" s="348"/>
      <c r="K527" s="348"/>
      <c r="L527" s="348"/>
      <c r="M527" s="348"/>
      <c r="N527" s="348"/>
      <c r="O527" s="348"/>
      <c r="P527" s="348"/>
      <c r="Q527" s="348"/>
    </row>
    <row r="528" spans="9:17" s="349" customFormat="1">
      <c r="I528" s="348"/>
      <c r="J528" s="348"/>
      <c r="K528" s="348"/>
      <c r="L528" s="348"/>
      <c r="M528" s="348"/>
      <c r="N528" s="348"/>
      <c r="O528" s="348"/>
      <c r="P528" s="348"/>
      <c r="Q528" s="348"/>
    </row>
    <row r="529" spans="9:17" s="349" customFormat="1">
      <c r="I529" s="348"/>
      <c r="J529" s="348"/>
      <c r="K529" s="348"/>
      <c r="L529" s="348"/>
      <c r="M529" s="348"/>
      <c r="N529" s="348"/>
      <c r="O529" s="348"/>
      <c r="P529" s="348"/>
      <c r="Q529" s="348"/>
    </row>
    <row r="530" spans="9:17" s="349" customFormat="1">
      <c r="I530" s="348"/>
      <c r="J530" s="348"/>
      <c r="K530" s="348"/>
      <c r="L530" s="348"/>
      <c r="M530" s="348"/>
      <c r="N530" s="348"/>
      <c r="O530" s="348"/>
      <c r="P530" s="348"/>
      <c r="Q530" s="348"/>
    </row>
    <row r="531" spans="9:17" s="349" customFormat="1">
      <c r="I531" s="348"/>
      <c r="J531" s="348"/>
      <c r="K531" s="348"/>
      <c r="L531" s="348"/>
      <c r="M531" s="348"/>
      <c r="N531" s="348"/>
      <c r="O531" s="348"/>
      <c r="P531" s="348"/>
      <c r="Q531" s="348"/>
    </row>
    <row r="532" spans="9:17" s="349" customFormat="1">
      <c r="I532" s="348"/>
      <c r="J532" s="348"/>
      <c r="K532" s="348"/>
      <c r="L532" s="348"/>
      <c r="M532" s="348"/>
      <c r="N532" s="348"/>
      <c r="O532" s="348"/>
      <c r="P532" s="348"/>
      <c r="Q532" s="348"/>
    </row>
    <row r="533" spans="9:17" s="349" customFormat="1">
      <c r="I533" s="348"/>
      <c r="J533" s="348"/>
      <c r="K533" s="348"/>
      <c r="L533" s="348"/>
      <c r="M533" s="348"/>
      <c r="N533" s="348"/>
      <c r="O533" s="348"/>
      <c r="P533" s="348"/>
      <c r="Q533" s="348"/>
    </row>
    <row r="534" spans="9:17" s="349" customFormat="1">
      <c r="I534" s="348"/>
      <c r="J534" s="348"/>
      <c r="K534" s="348"/>
      <c r="L534" s="348"/>
      <c r="M534" s="348"/>
      <c r="N534" s="348"/>
      <c r="O534" s="348"/>
      <c r="P534" s="348"/>
      <c r="Q534" s="348"/>
    </row>
    <row r="535" spans="9:17" s="349" customFormat="1">
      <c r="I535" s="348"/>
      <c r="J535" s="348"/>
      <c r="K535" s="348"/>
      <c r="L535" s="348"/>
      <c r="M535" s="348"/>
      <c r="N535" s="348"/>
      <c r="O535" s="348"/>
      <c r="P535" s="348"/>
      <c r="Q535" s="348"/>
    </row>
    <row r="536" spans="9:17" s="349" customFormat="1">
      <c r="I536" s="348"/>
      <c r="J536" s="348"/>
      <c r="K536" s="348"/>
      <c r="L536" s="348"/>
      <c r="M536" s="348"/>
      <c r="N536" s="348"/>
      <c r="O536" s="348"/>
      <c r="P536" s="348"/>
      <c r="Q536" s="348"/>
    </row>
    <row r="537" spans="9:17" s="349" customFormat="1">
      <c r="I537" s="348"/>
      <c r="J537" s="348"/>
      <c r="K537" s="348"/>
      <c r="L537" s="348"/>
      <c r="M537" s="348"/>
      <c r="N537" s="348"/>
      <c r="O537" s="348"/>
      <c r="P537" s="348"/>
      <c r="Q537" s="348"/>
    </row>
    <row r="538" spans="9:17" s="349" customFormat="1">
      <c r="I538" s="348"/>
      <c r="J538" s="348"/>
      <c r="K538" s="348"/>
      <c r="L538" s="348"/>
      <c r="M538" s="348"/>
      <c r="N538" s="348"/>
      <c r="O538" s="348"/>
      <c r="P538" s="348"/>
      <c r="Q538" s="348"/>
    </row>
    <row r="539" spans="9:17" s="349" customFormat="1">
      <c r="I539" s="348"/>
      <c r="J539" s="348"/>
      <c r="K539" s="348"/>
      <c r="L539" s="348"/>
      <c r="M539" s="348"/>
      <c r="N539" s="348"/>
      <c r="O539" s="348"/>
      <c r="P539" s="348"/>
      <c r="Q539" s="348"/>
    </row>
    <row r="540" spans="9:17" s="349" customFormat="1">
      <c r="I540" s="348"/>
      <c r="J540" s="348"/>
      <c r="K540" s="348"/>
      <c r="L540" s="348"/>
      <c r="M540" s="348"/>
      <c r="N540" s="348"/>
      <c r="O540" s="348"/>
      <c r="P540" s="348"/>
      <c r="Q540" s="348"/>
    </row>
    <row r="541" spans="9:17" s="349" customFormat="1">
      <c r="I541" s="348"/>
      <c r="J541" s="348"/>
      <c r="K541" s="348"/>
      <c r="L541" s="348"/>
      <c r="M541" s="348"/>
      <c r="N541" s="348"/>
      <c r="O541" s="348"/>
      <c r="P541" s="348"/>
      <c r="Q541" s="348"/>
    </row>
    <row r="542" spans="9:17" s="349" customFormat="1">
      <c r="I542" s="348"/>
      <c r="J542" s="348"/>
      <c r="K542" s="348"/>
      <c r="L542" s="348"/>
      <c r="M542" s="348"/>
      <c r="N542" s="348"/>
      <c r="O542" s="348"/>
      <c r="P542" s="348"/>
      <c r="Q542" s="348"/>
    </row>
    <row r="543" spans="9:17" s="349" customFormat="1">
      <c r="I543" s="348"/>
      <c r="J543" s="348"/>
      <c r="K543" s="348"/>
      <c r="L543" s="348"/>
      <c r="M543" s="348"/>
      <c r="N543" s="348"/>
      <c r="O543" s="348"/>
      <c r="P543" s="348"/>
      <c r="Q543" s="348"/>
    </row>
    <row r="544" spans="9:17" s="349" customFormat="1">
      <c r="I544" s="348"/>
      <c r="J544" s="348"/>
      <c r="K544" s="348"/>
      <c r="L544" s="348"/>
      <c r="M544" s="348"/>
      <c r="N544" s="348"/>
      <c r="O544" s="348"/>
      <c r="P544" s="348"/>
      <c r="Q544" s="348"/>
    </row>
    <row r="545" spans="2:17" s="349" customFormat="1">
      <c r="I545" s="348"/>
      <c r="J545" s="348"/>
      <c r="K545" s="348"/>
      <c r="L545" s="348"/>
      <c r="M545" s="348"/>
      <c r="N545" s="348"/>
      <c r="O545" s="348"/>
      <c r="P545" s="348"/>
      <c r="Q545" s="348"/>
    </row>
    <row r="546" spans="2:17" s="349" customFormat="1">
      <c r="I546" s="348"/>
      <c r="J546" s="348"/>
      <c r="K546" s="348"/>
      <c r="L546" s="348"/>
      <c r="M546" s="348"/>
      <c r="N546" s="348"/>
      <c r="O546" s="348"/>
      <c r="P546" s="348"/>
      <c r="Q546" s="348"/>
    </row>
    <row r="547" spans="2:17" s="349" customFormat="1">
      <c r="I547" s="348"/>
      <c r="J547" s="348"/>
      <c r="K547" s="348"/>
      <c r="L547" s="348"/>
      <c r="M547" s="348"/>
      <c r="N547" s="348"/>
      <c r="O547" s="348"/>
      <c r="P547" s="348"/>
      <c r="Q547" s="348"/>
    </row>
    <row r="548" spans="2:17" s="349" customFormat="1">
      <c r="B548" s="350"/>
      <c r="C548" s="350"/>
      <c r="D548" s="350"/>
      <c r="E548" s="350"/>
      <c r="I548" s="348"/>
      <c r="J548" s="348"/>
      <c r="K548" s="348"/>
      <c r="L548" s="348"/>
      <c r="M548" s="351"/>
      <c r="N548" s="348"/>
      <c r="O548" s="348"/>
      <c r="P548" s="348"/>
      <c r="Q548" s="348"/>
    </row>
    <row r="549" spans="2:17" s="349" customFormat="1">
      <c r="B549" s="350"/>
      <c r="C549" s="350"/>
      <c r="D549" s="350"/>
      <c r="E549" s="350"/>
      <c r="I549" s="348"/>
      <c r="J549" s="348"/>
      <c r="K549" s="348"/>
      <c r="L549" s="348"/>
      <c r="M549" s="351"/>
      <c r="N549" s="348"/>
      <c r="O549" s="348"/>
      <c r="P549" s="348"/>
      <c r="Q549" s="348"/>
    </row>
    <row r="550" spans="2:17">
      <c r="F550" s="349"/>
      <c r="G550" s="349"/>
      <c r="I550" s="348"/>
      <c r="J550" s="348"/>
      <c r="K550" s="348"/>
      <c r="L550" s="348"/>
    </row>
    <row r="551" spans="2:17">
      <c r="F551" s="349"/>
      <c r="G551" s="349"/>
    </row>
    <row r="552" spans="2:17">
      <c r="F552" s="349"/>
      <c r="G552" s="349"/>
    </row>
  </sheetData>
  <pageMargins left="0.19685039370078741" right="0.19685039370078741" top="0.78740157480314965" bottom="0.39370078740157483" header="0.31496062992125984" footer="0.31496062992125984"/>
  <pageSetup paperSize="9" scale="69" fitToHeight="2" orientation="portrait" r:id="rId1"/>
  <rowBreaks count="1" manualBreakCount="1">
    <brk id="86" min="1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217"/>
  <sheetViews>
    <sheetView topLeftCell="A2" workbookViewId="0">
      <selection activeCell="B32" sqref="B32:B34"/>
    </sheetView>
  </sheetViews>
  <sheetFormatPr defaultRowHeight="12.75"/>
  <cols>
    <col min="1" max="1" width="28.140625" style="78" customWidth="1"/>
    <col min="2" max="2" width="65.7109375" style="78" customWidth="1"/>
    <col min="3" max="3" width="3" style="78" customWidth="1"/>
    <col min="4" max="4" width="65.7109375" style="78" customWidth="1"/>
    <col min="5" max="5" width="28.28515625" style="78" customWidth="1"/>
    <col min="6" max="37" width="9.140625" style="27"/>
  </cols>
  <sheetData>
    <row r="1" spans="1:37" s="146" customFormat="1" ht="18">
      <c r="A1" s="796" t="s">
        <v>332</v>
      </c>
      <c r="B1" s="797"/>
      <c r="C1" s="797"/>
      <c r="D1" s="797"/>
      <c r="E1" s="797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</row>
    <row r="2" spans="1:37" s="146" customFormat="1" ht="18">
      <c r="A2" s="264"/>
      <c r="B2" s="353" t="s">
        <v>3571</v>
      </c>
      <c r="C2" s="265"/>
      <c r="D2" s="633" t="s">
        <v>176</v>
      </c>
      <c r="E2" s="266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</row>
    <row r="3" spans="1:37" s="146" customFormat="1" ht="15.95" customHeight="1">
      <c r="A3" s="183"/>
      <c r="B3" s="184" t="s">
        <v>333</v>
      </c>
      <c r="C3" s="147"/>
      <c r="D3" s="184" t="s">
        <v>334</v>
      </c>
      <c r="E3" s="180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</row>
    <row r="4" spans="1:37" s="146" customFormat="1" ht="15.95" customHeight="1">
      <c r="A4" s="410" t="s">
        <v>3647</v>
      </c>
      <c r="B4" s="196"/>
      <c r="C4" s="186"/>
      <c r="D4" s="801"/>
      <c r="E4" s="409" t="s">
        <v>3644</v>
      </c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</row>
    <row r="5" spans="1:37" s="146" customFormat="1" ht="15.95" customHeight="1">
      <c r="A5" s="410" t="s">
        <v>3648</v>
      </c>
      <c r="B5" s="197"/>
      <c r="C5" s="630"/>
      <c r="D5" s="802"/>
      <c r="E5" s="147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</row>
    <row r="6" spans="1:37" s="146" customFormat="1" ht="15.95" customHeight="1">
      <c r="A6" s="410" t="s">
        <v>3658</v>
      </c>
      <c r="B6" s="197"/>
      <c r="C6" s="630"/>
      <c r="D6" s="802"/>
      <c r="E6" s="147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</row>
    <row r="7" spans="1:37" s="146" customFormat="1" ht="15.95" customHeight="1">
      <c r="A7" s="410" t="s">
        <v>3649</v>
      </c>
      <c r="B7" s="197"/>
      <c r="C7" s="630"/>
      <c r="D7" s="198"/>
      <c r="E7" s="409" t="s">
        <v>3645</v>
      </c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</row>
    <row r="8" spans="1:37" s="146" customFormat="1" ht="15.95" customHeight="1">
      <c r="A8" s="410" t="s">
        <v>3659</v>
      </c>
      <c r="B8" s="199"/>
      <c r="C8" s="630"/>
      <c r="D8" s="198"/>
      <c r="E8" s="147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7" s="146" customFormat="1" ht="15.95" customHeight="1">
      <c r="A9" s="410" t="s">
        <v>37</v>
      </c>
      <c r="B9" s="200"/>
      <c r="C9" s="630"/>
      <c r="D9" s="198"/>
      <c r="E9" s="147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</row>
    <row r="10" spans="1:37" s="146" customFormat="1" ht="15.95" customHeight="1">
      <c r="A10" s="410" t="s">
        <v>3646</v>
      </c>
      <c r="B10" s="200"/>
      <c r="C10" s="630"/>
      <c r="D10" s="201"/>
      <c r="E10" s="409" t="s">
        <v>3646</v>
      </c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</row>
    <row r="11" spans="1:37" s="146" customFormat="1" ht="15.95" customHeight="1">
      <c r="A11" s="410" t="s">
        <v>3660</v>
      </c>
      <c r="B11" s="631"/>
      <c r="C11" s="630"/>
      <c r="D11" s="198"/>
      <c r="E11" s="147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</row>
    <row r="12" spans="1:37" s="146" customFormat="1" ht="15.95" customHeight="1">
      <c r="A12" s="185"/>
      <c r="B12" s="793"/>
      <c r="C12" s="794"/>
      <c r="D12" s="795"/>
      <c r="E12" s="147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</row>
    <row r="13" spans="1:37" s="146" customFormat="1" ht="15.95" customHeight="1">
      <c r="A13" s="411" t="s">
        <v>3661</v>
      </c>
      <c r="B13" s="202"/>
      <c r="C13" s="632"/>
      <c r="D13" s="203"/>
      <c r="E13" s="188" t="s">
        <v>337</v>
      </c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</row>
    <row r="14" spans="1:37" s="146" customFormat="1" ht="15.95" customHeight="1">
      <c r="A14" s="411" t="s">
        <v>3662</v>
      </c>
      <c r="B14" s="202"/>
      <c r="C14" s="630"/>
      <c r="D14" s="203"/>
      <c r="E14" s="409" t="s">
        <v>3647</v>
      </c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</row>
    <row r="15" spans="1:37" s="146" customFormat="1" ht="15.95" customHeight="1">
      <c r="A15" s="189" t="s">
        <v>339</v>
      </c>
      <c r="B15" s="202"/>
      <c r="C15" s="630"/>
      <c r="D15" s="203"/>
      <c r="E15" s="409" t="s">
        <v>3648</v>
      </c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</row>
    <row r="16" spans="1:37" s="146" customFormat="1" ht="15.95" customHeight="1">
      <c r="A16" s="410" t="s">
        <v>3663</v>
      </c>
      <c r="B16" s="202"/>
      <c r="C16" s="630"/>
      <c r="D16" s="203"/>
      <c r="E16" s="409" t="s">
        <v>3649</v>
      </c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</row>
    <row r="17" spans="1:37" s="146" customFormat="1" ht="15.95" customHeight="1">
      <c r="A17" s="410" t="s">
        <v>3653</v>
      </c>
      <c r="B17" s="275"/>
      <c r="C17" s="630"/>
      <c r="D17" s="203"/>
      <c r="E17" s="409" t="s">
        <v>3650</v>
      </c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</row>
    <row r="18" spans="1:37" s="146" customFormat="1" ht="15.95" customHeight="1">
      <c r="A18" s="410" t="s">
        <v>3654</v>
      </c>
      <c r="B18" s="202"/>
      <c r="C18" s="630"/>
      <c r="D18" s="203"/>
      <c r="E18" s="147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</row>
    <row r="19" spans="1:37" s="146" customFormat="1" ht="15.95" customHeight="1">
      <c r="A19" s="410" t="s">
        <v>3655</v>
      </c>
      <c r="B19" s="204"/>
      <c r="C19" s="632"/>
      <c r="D19" s="203"/>
      <c r="E19" s="188" t="s">
        <v>336</v>
      </c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</row>
    <row r="20" spans="1:37" s="146" customFormat="1" ht="15.95" customHeight="1">
      <c r="A20" s="411" t="s">
        <v>3664</v>
      </c>
      <c r="B20" s="202"/>
      <c r="C20" s="630"/>
      <c r="D20" s="203"/>
      <c r="E20" s="409" t="s">
        <v>3647</v>
      </c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</row>
    <row r="21" spans="1:37" s="146" customFormat="1" ht="15.95" customHeight="1">
      <c r="A21" s="410" t="s">
        <v>3665</v>
      </c>
      <c r="B21" s="202"/>
      <c r="C21" s="630"/>
      <c r="D21" s="203"/>
      <c r="E21" s="409" t="s">
        <v>3648</v>
      </c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</row>
    <row r="22" spans="1:37" s="146" customFormat="1" ht="15.95" customHeight="1">
      <c r="A22" s="185"/>
      <c r="B22" s="202"/>
      <c r="C22" s="630"/>
      <c r="D22" s="203"/>
      <c r="E22" s="409" t="s">
        <v>3649</v>
      </c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</row>
    <row r="23" spans="1:37" s="146" customFormat="1" ht="15.95" customHeight="1">
      <c r="A23" s="189" t="s">
        <v>3666</v>
      </c>
      <c r="B23" s="202"/>
      <c r="C23" s="630"/>
      <c r="D23" s="205"/>
      <c r="E23" s="409" t="s">
        <v>3651</v>
      </c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</row>
    <row r="24" spans="1:37" s="146" customFormat="1" ht="15.95" customHeight="1">
      <c r="A24" s="185"/>
      <c r="B24" s="202"/>
      <c r="C24" s="630"/>
      <c r="D24" s="203"/>
      <c r="E24" s="409" t="s">
        <v>3652</v>
      </c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</row>
    <row r="25" spans="1:37" s="146" customFormat="1" ht="15.95" customHeight="1">
      <c r="A25" s="410" t="s">
        <v>3651</v>
      </c>
      <c r="B25" s="206"/>
      <c r="C25" s="630"/>
      <c r="D25" s="207"/>
      <c r="E25" s="409" t="s">
        <v>3653</v>
      </c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</row>
    <row r="26" spans="1:37" s="146" customFormat="1" ht="15.95" customHeight="1">
      <c r="A26" s="410" t="s">
        <v>3667</v>
      </c>
      <c r="B26" s="206"/>
      <c r="C26" s="630"/>
      <c r="D26" s="203"/>
      <c r="E26" s="409" t="s">
        <v>3654</v>
      </c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</row>
    <row r="27" spans="1:37" s="146" customFormat="1" ht="15.95" customHeight="1">
      <c r="A27" s="410" t="s">
        <v>3657</v>
      </c>
      <c r="B27" s="451"/>
      <c r="C27" s="630"/>
      <c r="D27" s="208"/>
      <c r="E27" s="409" t="s">
        <v>3655</v>
      </c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</row>
    <row r="28" spans="1:37" s="146" customFormat="1" ht="15.95" customHeight="1">
      <c r="A28" s="410" t="s">
        <v>3668</v>
      </c>
      <c r="B28" s="202"/>
      <c r="C28" s="630"/>
      <c r="D28" s="203"/>
      <c r="E28" s="147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</row>
    <row r="29" spans="1:37" s="146" customFormat="1" ht="15.95" customHeight="1">
      <c r="A29" s="411" t="s">
        <v>3669</v>
      </c>
      <c r="B29" s="799"/>
      <c r="C29" s="632"/>
      <c r="D29" s="203"/>
      <c r="E29" s="188" t="s">
        <v>338</v>
      </c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</row>
    <row r="30" spans="1:37" s="146" customFormat="1" ht="15.95" customHeight="1">
      <c r="A30" s="346"/>
      <c r="B30" s="800"/>
      <c r="C30" s="630"/>
      <c r="D30" s="203"/>
      <c r="E30" s="409" t="s">
        <v>3647</v>
      </c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</row>
    <row r="31" spans="1:37" s="146" customFormat="1" ht="15.95" customHeight="1">
      <c r="A31" s="189" t="s">
        <v>335</v>
      </c>
      <c r="B31" s="202"/>
      <c r="C31" s="630"/>
      <c r="D31" s="203"/>
      <c r="E31" s="409" t="s">
        <v>3648</v>
      </c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</row>
    <row r="32" spans="1:37" s="146" customFormat="1" ht="15.95" customHeight="1">
      <c r="A32" s="410" t="s">
        <v>3670</v>
      </c>
      <c r="B32" s="204"/>
      <c r="C32" s="630"/>
      <c r="D32" s="203"/>
      <c r="E32" s="409" t="s">
        <v>3649</v>
      </c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</row>
    <row r="33" spans="1:37" s="146" customFormat="1" ht="15.95" customHeight="1">
      <c r="A33" s="410" t="s">
        <v>3671</v>
      </c>
      <c r="B33" s="204"/>
      <c r="C33" s="630"/>
      <c r="D33" s="205"/>
      <c r="E33" s="409" t="s">
        <v>3651</v>
      </c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</row>
    <row r="34" spans="1:37" s="146" customFormat="1" ht="15.95" customHeight="1">
      <c r="A34" s="410" t="s">
        <v>3672</v>
      </c>
      <c r="B34" s="202"/>
      <c r="C34" s="630"/>
      <c r="D34" s="205"/>
      <c r="E34" s="409" t="s">
        <v>3656</v>
      </c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</row>
    <row r="35" spans="1:37" s="146" customFormat="1" ht="15.95" customHeight="1">
      <c r="A35" s="185"/>
      <c r="B35" s="202"/>
      <c r="C35" s="187"/>
      <c r="D35" s="276"/>
      <c r="E35" s="409" t="s">
        <v>3657</v>
      </c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</row>
    <row r="36" spans="1:37" s="146" customFormat="1" ht="15.95" customHeight="1">
      <c r="A36" s="185"/>
      <c r="B36" s="209"/>
      <c r="C36" s="190"/>
      <c r="D36" s="210"/>
      <c r="E36" s="147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</row>
    <row r="37" spans="1:37" s="146" customFormat="1">
      <c r="A37" s="798" t="s">
        <v>3613</v>
      </c>
      <c r="B37" s="797"/>
      <c r="C37" s="797"/>
      <c r="D37" s="797"/>
      <c r="E37" s="797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</row>
    <row r="38" spans="1:37" s="146" customFormat="1">
      <c r="A38" s="191"/>
      <c r="B38" s="192" t="s">
        <v>341</v>
      </c>
      <c r="C38" s="147"/>
      <c r="D38" s="791" t="s">
        <v>343</v>
      </c>
      <c r="E38" s="792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</row>
    <row r="39" spans="1:37" s="146" customFormat="1">
      <c r="A39" s="193"/>
      <c r="B39" s="194" t="s">
        <v>340</v>
      </c>
      <c r="C39" s="147"/>
      <c r="D39" s="195" t="s">
        <v>0</v>
      </c>
      <c r="E39" s="147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</row>
    <row r="40" spans="1:37" s="146" customFormat="1">
      <c r="A40" s="211"/>
      <c r="B40" s="212" t="s">
        <v>342</v>
      </c>
      <c r="C40" s="147"/>
      <c r="D40" s="147"/>
      <c r="E40" s="147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</row>
    <row r="41" spans="1:37" s="146" customFormat="1">
      <c r="A41" s="790" t="s">
        <v>247</v>
      </c>
      <c r="B41" s="790"/>
      <c r="C41" s="790"/>
      <c r="D41" s="790"/>
      <c r="E41" s="181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</row>
    <row r="43" spans="1:37" s="27" customFormat="1">
      <c r="A43" s="182"/>
    </row>
    <row r="44" spans="1:37" s="27" customFormat="1">
      <c r="A44" s="788"/>
      <c r="B44" s="789"/>
      <c r="C44" s="789"/>
      <c r="D44" s="789"/>
      <c r="E44" s="789"/>
    </row>
    <row r="45" spans="1:37" s="27" customFormat="1"/>
    <row r="46" spans="1:37" s="27" customFormat="1"/>
    <row r="47" spans="1:37" s="27" customFormat="1"/>
    <row r="48" spans="1:37" s="27" customFormat="1"/>
    <row r="49" spans="1:1" s="27" customFormat="1"/>
    <row r="50" spans="1:1" s="27" customFormat="1"/>
    <row r="51" spans="1:1" s="27" customFormat="1"/>
    <row r="52" spans="1:1" s="27" customFormat="1"/>
    <row r="53" spans="1:1" s="27" customFormat="1">
      <c r="A53" s="182"/>
    </row>
    <row r="54" spans="1:1" s="27" customFormat="1"/>
    <row r="55" spans="1:1" s="27" customFormat="1"/>
    <row r="56" spans="1:1" s="27" customFormat="1"/>
    <row r="57" spans="1:1" s="27" customFormat="1"/>
    <row r="58" spans="1:1" s="27" customFormat="1"/>
    <row r="59" spans="1:1" s="27" customFormat="1"/>
    <row r="60" spans="1:1" s="27" customFormat="1"/>
    <row r="61" spans="1:1" s="27" customFormat="1"/>
    <row r="62" spans="1:1" s="27" customFormat="1"/>
    <row r="63" spans="1:1" s="27" customFormat="1"/>
    <row r="64" spans="1:1" s="27" customFormat="1"/>
    <row r="65" s="27" customFormat="1"/>
    <row r="66" s="27" customFormat="1"/>
    <row r="67" s="27" customFormat="1"/>
    <row r="68" s="27" customFormat="1"/>
    <row r="69" s="27" customFormat="1"/>
    <row r="70" s="27" customFormat="1"/>
    <row r="71" s="27" customFormat="1"/>
    <row r="72" s="27" customFormat="1"/>
    <row r="73" s="27" customFormat="1"/>
    <row r="74" s="27" customFormat="1"/>
    <row r="75" s="27" customFormat="1"/>
    <row r="76" s="27" customFormat="1"/>
    <row r="77" s="27" customFormat="1"/>
    <row r="78" s="27" customFormat="1"/>
    <row r="79" s="27" customFormat="1"/>
    <row r="80" s="27" customFormat="1"/>
    <row r="81" s="27" customFormat="1"/>
    <row r="82" s="27" customFormat="1"/>
    <row r="83" s="27" customFormat="1"/>
    <row r="84" s="27" customFormat="1"/>
    <row r="85" s="27" customFormat="1"/>
    <row r="86" s="27" customFormat="1"/>
    <row r="87" s="27" customFormat="1"/>
    <row r="88" s="27" customFormat="1"/>
    <row r="89" s="27" customFormat="1"/>
    <row r="90" s="27" customFormat="1"/>
    <row r="91" s="27" customFormat="1"/>
    <row r="92" s="27" customFormat="1"/>
    <row r="93" s="27" customFormat="1"/>
    <row r="94" s="27" customFormat="1"/>
    <row r="95" s="27" customFormat="1"/>
    <row r="96" s="27" customFormat="1"/>
    <row r="97" s="27" customFormat="1"/>
    <row r="98" s="27" customFormat="1"/>
    <row r="99" s="27" customFormat="1"/>
    <row r="100" s="27" customFormat="1"/>
    <row r="101" s="27" customFormat="1"/>
    <row r="102" s="27" customFormat="1"/>
    <row r="103" s="27" customFormat="1"/>
    <row r="104" s="27" customFormat="1"/>
    <row r="105" s="27" customFormat="1"/>
    <row r="106" s="27" customFormat="1"/>
    <row r="107" s="27" customFormat="1"/>
    <row r="108" s="27" customFormat="1"/>
    <row r="109" s="27" customFormat="1"/>
    <row r="110" s="27" customFormat="1"/>
    <row r="111" s="27" customFormat="1"/>
    <row r="112" s="27" customFormat="1"/>
    <row r="113" s="27" customFormat="1"/>
    <row r="114" s="27" customFormat="1"/>
    <row r="115" s="27" customFormat="1"/>
    <row r="116" s="27" customFormat="1"/>
    <row r="117" s="27" customFormat="1"/>
    <row r="118" s="27" customFormat="1"/>
    <row r="119" s="27" customFormat="1"/>
    <row r="120" s="27" customFormat="1"/>
    <row r="121" s="27" customFormat="1"/>
    <row r="122" s="27" customFormat="1"/>
    <row r="123" s="27" customFormat="1"/>
    <row r="124" s="27" customFormat="1"/>
    <row r="125" s="27" customFormat="1"/>
    <row r="126" s="27" customFormat="1"/>
    <row r="127" s="27" customFormat="1"/>
    <row r="128" s="27" customFormat="1"/>
    <row r="129" s="27" customFormat="1"/>
    <row r="130" s="27" customFormat="1"/>
    <row r="131" s="27" customFormat="1"/>
    <row r="132" s="27" customFormat="1"/>
    <row r="133" s="27" customFormat="1"/>
    <row r="134" s="27" customFormat="1"/>
    <row r="135" s="27" customFormat="1"/>
    <row r="136" s="27" customFormat="1"/>
    <row r="137" s="27" customFormat="1"/>
    <row r="138" s="27" customFormat="1"/>
    <row r="139" s="27" customFormat="1"/>
    <row r="140" s="27" customFormat="1"/>
    <row r="141" s="27" customFormat="1"/>
    <row r="142" s="27" customFormat="1"/>
    <row r="143" s="27" customFormat="1"/>
    <row r="144" s="27" customFormat="1"/>
    <row r="145" s="27" customFormat="1"/>
    <row r="146" s="27" customFormat="1"/>
    <row r="147" s="27" customFormat="1"/>
    <row r="148" s="27" customFormat="1"/>
    <row r="149" s="27" customFormat="1"/>
    <row r="150" s="27" customFormat="1"/>
    <row r="151" s="27" customFormat="1"/>
    <row r="152" s="27" customFormat="1"/>
    <row r="153" s="27" customFormat="1"/>
    <row r="154" s="27" customFormat="1"/>
    <row r="155" s="27" customFormat="1"/>
    <row r="156" s="27" customFormat="1"/>
    <row r="157" s="27" customFormat="1"/>
    <row r="158" s="27" customFormat="1"/>
    <row r="159" s="27" customFormat="1"/>
    <row r="160" s="27" customFormat="1"/>
    <row r="161" s="27" customFormat="1"/>
    <row r="162" s="27" customFormat="1"/>
    <row r="163" s="27" customFormat="1"/>
    <row r="164" s="27" customFormat="1"/>
    <row r="165" s="27" customFormat="1"/>
    <row r="166" s="27" customFormat="1"/>
    <row r="167" s="27" customFormat="1"/>
    <row r="168" s="27" customFormat="1"/>
    <row r="169" s="27" customFormat="1"/>
    <row r="170" s="27" customFormat="1"/>
    <row r="171" s="27" customFormat="1"/>
    <row r="172" s="27" customFormat="1"/>
    <row r="173" s="27" customFormat="1"/>
    <row r="174" s="27" customFormat="1"/>
    <row r="175" s="27" customFormat="1"/>
    <row r="176" s="27" customFormat="1"/>
    <row r="177" s="27" customFormat="1"/>
    <row r="178" s="27" customFormat="1"/>
    <row r="179" s="27" customFormat="1"/>
    <row r="180" s="27" customFormat="1"/>
    <row r="181" s="27" customFormat="1"/>
    <row r="182" s="27" customFormat="1"/>
    <row r="183" s="27" customFormat="1"/>
    <row r="184" s="27" customFormat="1"/>
    <row r="185" s="27" customFormat="1"/>
    <row r="186" s="27" customFormat="1"/>
    <row r="187" s="27" customFormat="1"/>
    <row r="188" s="27" customFormat="1"/>
    <row r="189" s="27" customFormat="1"/>
    <row r="190" s="27" customFormat="1"/>
    <row r="191" s="27" customFormat="1"/>
    <row r="192" s="27" customFormat="1"/>
    <row r="193" s="27" customFormat="1"/>
    <row r="194" s="27" customFormat="1"/>
    <row r="195" s="27" customFormat="1"/>
    <row r="196" s="27" customFormat="1"/>
    <row r="197" s="27" customFormat="1"/>
    <row r="198" s="27" customFormat="1"/>
    <row r="199" s="27" customFormat="1"/>
    <row r="200" s="27" customFormat="1"/>
    <row r="201" s="27" customFormat="1"/>
    <row r="202" s="27" customFormat="1"/>
    <row r="203" s="27" customFormat="1"/>
    <row r="204" s="27" customFormat="1"/>
    <row r="205" s="27" customFormat="1"/>
    <row r="206" s="27" customFormat="1"/>
    <row r="207" s="27" customFormat="1"/>
    <row r="208" s="27" customFormat="1"/>
    <row r="209" s="27" customFormat="1"/>
    <row r="210" s="27" customFormat="1"/>
    <row r="211" s="27" customFormat="1"/>
    <row r="212" s="27" customFormat="1"/>
    <row r="213" s="27" customFormat="1"/>
    <row r="214" s="27" customFormat="1"/>
    <row r="215" s="27" customFormat="1"/>
    <row r="216" s="27" customFormat="1"/>
    <row r="217" s="27" customFormat="1"/>
  </sheetData>
  <sheetProtection algorithmName="SHA-512" hashValue="a7fLA7PynW9XnHn7soFh9TJXYJCNmxDI3ypdpIRazDnHPOuplfw3HLgu6u9Smzpf0OEO1ur8DpPJe79uiQ46NQ==" saltValue="TJ1pj+jVhnRPh/eyJGQ1FQ==" spinCount="100000" sheet="1" objects="1" scenarios="1"/>
  <mergeCells count="8">
    <mergeCell ref="A44:E44"/>
    <mergeCell ref="A41:D41"/>
    <mergeCell ref="D38:E38"/>
    <mergeCell ref="B12:D12"/>
    <mergeCell ref="A1:E1"/>
    <mergeCell ref="A37:E37"/>
    <mergeCell ref="B29:B30"/>
    <mergeCell ref="D4:D6"/>
  </mergeCells>
  <phoneticPr fontId="11" type="noConversion"/>
  <dataValidations count="4">
    <dataValidation type="list" allowBlank="1" showInputMessage="1" showErrorMessage="1" errorTitle="Neexistující úřad" error="Vyberte Finanční úřad ze seznamu" sqref="B13" xr:uid="{00000000-0002-0000-0300-000000000000}">
      <formula1>fin_ur</formula1>
    </dataValidation>
    <dataValidation type="list" errorStyle="warning" allowBlank="1" showInputMessage="1" sqref="B14" xr:uid="{00000000-0002-0000-0300-000001000000}">
      <formula1>validation_list2</formula1>
    </dataValidation>
    <dataValidation type="list" allowBlank="1" showInputMessage="1" sqref="B29:B30" xr:uid="{00000000-0002-0000-0300-000002000000}">
      <formula1>vl_cinnosti</formula1>
    </dataValidation>
    <dataValidation type="list" allowBlank="1" showInputMessage="1" showErrorMessage="1" errorTitle="Stát není v seznamu" sqref="B20" xr:uid="{00000000-0002-0000-0300-000003000000}">
      <formula1>staty</formula1>
    </dataValidation>
  </dataValidations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76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P245"/>
  <sheetViews>
    <sheetView workbookViewId="0">
      <selection activeCell="B12" sqref="B12"/>
    </sheetView>
  </sheetViews>
  <sheetFormatPr defaultColWidth="9.140625" defaultRowHeight="12.75"/>
  <cols>
    <col min="1" max="1" width="4" style="282" customWidth="1"/>
    <col min="2" max="2" width="100.7109375" style="282" customWidth="1"/>
    <col min="3" max="42" width="9.140625" style="347"/>
    <col min="43" max="16384" width="9.140625" style="282"/>
  </cols>
  <sheetData>
    <row r="1" spans="1:2" ht="18">
      <c r="A1" s="803" t="s">
        <v>3560</v>
      </c>
      <c r="B1" s="804"/>
    </row>
    <row r="2" spans="1:2">
      <c r="A2" s="358"/>
      <c r="B2" s="358"/>
    </row>
    <row r="3" spans="1:2" ht="30">
      <c r="A3" s="359" t="s">
        <v>136</v>
      </c>
      <c r="B3" s="360" t="s">
        <v>3561</v>
      </c>
    </row>
    <row r="4" spans="1:2" ht="29.25">
      <c r="A4" s="359" t="s">
        <v>137</v>
      </c>
      <c r="B4" s="361" t="s">
        <v>3450</v>
      </c>
    </row>
    <row r="5" spans="1:2" ht="29.25">
      <c r="A5" s="359" t="s">
        <v>138</v>
      </c>
      <c r="B5" s="361" t="s">
        <v>3558</v>
      </c>
    </row>
    <row r="6" spans="1:2" ht="15">
      <c r="A6" s="359"/>
      <c r="B6" s="362" t="s">
        <v>3559</v>
      </c>
    </row>
    <row r="7" spans="1:2" s="347" customFormat="1" ht="15">
      <c r="A7" s="359"/>
      <c r="B7" s="362" t="s">
        <v>3562</v>
      </c>
    </row>
    <row r="8" spans="1:2" s="347" customFormat="1" ht="15">
      <c r="A8" s="359"/>
      <c r="B8" s="361" t="s">
        <v>3563</v>
      </c>
    </row>
    <row r="9" spans="1:2" s="347" customFormat="1" ht="29.25">
      <c r="A9" s="359"/>
      <c r="B9" s="361" t="s">
        <v>3564</v>
      </c>
    </row>
    <row r="10" spans="1:2" s="347" customFormat="1" ht="86.25">
      <c r="A10" s="359"/>
      <c r="B10" s="361" t="s">
        <v>3565</v>
      </c>
    </row>
    <row r="11" spans="1:2" s="347" customFormat="1" ht="74.25" customHeight="1">
      <c r="A11" s="359" t="s">
        <v>3451</v>
      </c>
      <c r="B11" s="361" t="s">
        <v>3835</v>
      </c>
    </row>
    <row r="12" spans="1:2" s="347" customFormat="1" ht="18" customHeight="1">
      <c r="A12" s="359"/>
      <c r="B12" s="363" t="s">
        <v>3452</v>
      </c>
    </row>
    <row r="13" spans="1:2" s="347" customFormat="1" ht="42.75">
      <c r="A13" s="359"/>
      <c r="B13" s="361" t="s">
        <v>3566</v>
      </c>
    </row>
    <row r="14" spans="1:2" s="347" customFormat="1" ht="29.25">
      <c r="A14" s="359" t="s">
        <v>103</v>
      </c>
      <c r="B14" s="364" t="s">
        <v>3567</v>
      </c>
    </row>
    <row r="15" spans="1:2" s="347" customFormat="1" ht="59.25">
      <c r="A15" s="359" t="s">
        <v>316</v>
      </c>
      <c r="B15" s="361" t="s">
        <v>3568</v>
      </c>
    </row>
    <row r="16" spans="1:2" s="347" customFormat="1" ht="15">
      <c r="A16" s="359" t="s">
        <v>315</v>
      </c>
      <c r="B16" s="361" t="s">
        <v>3597</v>
      </c>
    </row>
    <row r="17" spans="1:2" s="347" customFormat="1" ht="15">
      <c r="A17" s="359"/>
      <c r="B17" s="365" t="s">
        <v>3453</v>
      </c>
    </row>
    <row r="18" spans="1:2" s="347" customFormat="1" ht="42.75">
      <c r="A18" s="359"/>
      <c r="B18" s="366" t="s">
        <v>3454</v>
      </c>
    </row>
    <row r="19" spans="1:2" s="347" customFormat="1" ht="99.75">
      <c r="A19" s="359"/>
      <c r="B19" s="366" t="s">
        <v>3598</v>
      </c>
    </row>
    <row r="20" spans="1:2" s="347" customFormat="1" ht="45" customHeight="1">
      <c r="A20" s="359" t="s">
        <v>314</v>
      </c>
      <c r="B20" s="361" t="s">
        <v>3569</v>
      </c>
    </row>
    <row r="21" spans="1:2" s="347" customFormat="1" ht="15" customHeight="1">
      <c r="A21" s="359"/>
      <c r="B21" s="363" t="s">
        <v>3452</v>
      </c>
    </row>
    <row r="22" spans="1:2" s="347" customFormat="1" ht="14.25">
      <c r="A22" s="359" t="s">
        <v>313</v>
      </c>
      <c r="B22" s="366" t="s">
        <v>3570</v>
      </c>
    </row>
    <row r="23" spans="1:2" s="347" customFormat="1" ht="14.25">
      <c r="A23" s="359"/>
      <c r="B23" s="366" t="s">
        <v>3455</v>
      </c>
    </row>
    <row r="24" spans="1:2" s="347" customFormat="1" ht="28.5">
      <c r="A24" s="359"/>
      <c r="B24" s="366" t="s">
        <v>3464</v>
      </c>
    </row>
    <row r="25" spans="1:2" s="347" customFormat="1">
      <c r="A25" s="358"/>
      <c r="B25" s="358"/>
    </row>
    <row r="26" spans="1:2" s="347" customFormat="1" ht="15.75">
      <c r="A26" s="358"/>
      <c r="B26" s="367" t="s">
        <v>3673</v>
      </c>
    </row>
    <row r="27" spans="1:2" s="347" customFormat="1" ht="14.25">
      <c r="A27" s="358"/>
      <c r="B27" s="368" t="s">
        <v>3456</v>
      </c>
    </row>
    <row r="28" spans="1:2" s="347" customFormat="1" ht="14.25">
      <c r="A28" s="358"/>
      <c r="B28" s="368" t="s">
        <v>3457</v>
      </c>
    </row>
    <row r="29" spans="1:2" s="347" customFormat="1"/>
    <row r="30" spans="1:2" s="347" customFormat="1"/>
    <row r="31" spans="1:2" s="347" customFormat="1"/>
    <row r="32" spans="1:2" s="347" customFormat="1"/>
    <row r="33" s="347" customFormat="1"/>
    <row r="34" s="347" customFormat="1"/>
    <row r="35" s="347" customFormat="1"/>
    <row r="36" s="347" customFormat="1"/>
    <row r="37" s="347" customFormat="1"/>
    <row r="38" s="347" customFormat="1"/>
    <row r="39" s="347" customFormat="1"/>
    <row r="40" s="347" customFormat="1"/>
    <row r="41" s="347" customFormat="1"/>
    <row r="42" s="347" customFormat="1"/>
    <row r="43" s="347" customFormat="1"/>
    <row r="44" s="347" customFormat="1"/>
    <row r="45" s="347" customFormat="1"/>
    <row r="46" s="347" customFormat="1"/>
    <row r="47" s="347" customFormat="1"/>
    <row r="48" s="347" customFormat="1"/>
    <row r="49" s="347" customFormat="1"/>
    <row r="50" s="347" customFormat="1"/>
    <row r="51" s="347" customFormat="1"/>
    <row r="52" s="347" customFormat="1"/>
    <row r="53" s="347" customFormat="1"/>
    <row r="54" s="347" customFormat="1"/>
    <row r="55" s="347" customFormat="1"/>
    <row r="56" s="347" customFormat="1"/>
    <row r="57" s="347" customFormat="1"/>
    <row r="58" s="347" customFormat="1"/>
    <row r="59" s="347" customFormat="1"/>
    <row r="60" s="347" customFormat="1"/>
    <row r="61" s="347" customFormat="1"/>
    <row r="62" s="347" customFormat="1"/>
    <row r="63" s="347" customFormat="1"/>
    <row r="64" s="347" customFormat="1"/>
    <row r="65" s="347" customFormat="1"/>
    <row r="66" s="347" customFormat="1"/>
    <row r="67" s="347" customFormat="1"/>
    <row r="68" s="347" customFormat="1"/>
    <row r="69" s="347" customFormat="1"/>
    <row r="70" s="347" customFormat="1"/>
    <row r="71" s="347" customFormat="1"/>
    <row r="72" s="347" customFormat="1"/>
    <row r="73" s="347" customFormat="1"/>
    <row r="74" s="347" customFormat="1"/>
    <row r="75" s="347" customFormat="1"/>
    <row r="76" s="347" customFormat="1"/>
    <row r="77" s="347" customFormat="1"/>
    <row r="78" s="347" customFormat="1"/>
    <row r="79" s="347" customFormat="1"/>
    <row r="80" s="347" customFormat="1"/>
    <row r="81" s="347" customFormat="1"/>
    <row r="82" s="347" customFormat="1"/>
    <row r="83" s="347" customFormat="1"/>
    <row r="84" s="347" customFormat="1"/>
    <row r="85" s="347" customFormat="1"/>
    <row r="86" s="347" customFormat="1"/>
    <row r="87" s="347" customFormat="1"/>
    <row r="88" s="347" customFormat="1"/>
    <row r="89" s="347" customFormat="1"/>
    <row r="90" s="347" customFormat="1"/>
    <row r="91" s="347" customFormat="1"/>
    <row r="92" s="347" customFormat="1"/>
    <row r="93" s="347" customFormat="1"/>
    <row r="94" s="347" customFormat="1"/>
    <row r="95" s="347" customFormat="1"/>
    <row r="96" s="347" customFormat="1"/>
    <row r="97" s="347" customFormat="1"/>
    <row r="98" s="347" customFormat="1"/>
    <row r="99" s="347" customFormat="1"/>
    <row r="100" s="347" customFormat="1"/>
    <row r="101" s="347" customFormat="1"/>
    <row r="102" s="347" customFormat="1"/>
    <row r="103" s="347" customFormat="1"/>
    <row r="104" s="347" customFormat="1"/>
    <row r="105" s="347" customFormat="1"/>
    <row r="106" s="347" customFormat="1"/>
    <row r="107" s="347" customFormat="1"/>
    <row r="108" s="347" customFormat="1"/>
    <row r="109" s="347" customFormat="1"/>
    <row r="110" s="347" customFormat="1"/>
    <row r="111" s="347" customFormat="1"/>
    <row r="112" s="347" customFormat="1"/>
    <row r="113" s="347" customFormat="1"/>
    <row r="114" s="347" customFormat="1"/>
    <row r="115" s="347" customFormat="1"/>
    <row r="116" s="347" customFormat="1"/>
    <row r="117" s="347" customFormat="1"/>
    <row r="118" s="347" customFormat="1"/>
    <row r="119" s="347" customFormat="1"/>
    <row r="120" s="347" customFormat="1"/>
    <row r="121" s="347" customFormat="1"/>
    <row r="122" s="347" customFormat="1"/>
    <row r="123" s="347" customFormat="1"/>
    <row r="124" s="347" customFormat="1"/>
    <row r="125" s="347" customFormat="1"/>
    <row r="126" s="347" customFormat="1"/>
    <row r="127" s="347" customFormat="1"/>
    <row r="128" s="347" customFormat="1"/>
    <row r="129" s="347" customFormat="1"/>
    <row r="130" s="347" customFormat="1"/>
    <row r="131" s="347" customFormat="1"/>
    <row r="132" s="347" customFormat="1"/>
    <row r="133" s="347" customFormat="1"/>
    <row r="134" s="347" customFormat="1"/>
    <row r="135" s="347" customFormat="1"/>
    <row r="136" s="347" customFormat="1"/>
    <row r="137" s="347" customFormat="1"/>
    <row r="138" s="347" customFormat="1"/>
    <row r="139" s="347" customFormat="1"/>
    <row r="140" s="347" customFormat="1"/>
    <row r="141" s="347" customFormat="1"/>
    <row r="142" s="347" customFormat="1"/>
    <row r="143" s="347" customFormat="1"/>
    <row r="144" s="347" customFormat="1"/>
    <row r="145" s="347" customFormat="1"/>
    <row r="146" s="347" customFormat="1"/>
    <row r="147" s="347" customFormat="1"/>
    <row r="148" s="347" customFormat="1"/>
    <row r="149" s="347" customFormat="1"/>
    <row r="150" s="347" customFormat="1"/>
    <row r="151" s="347" customFormat="1"/>
    <row r="152" s="347" customFormat="1"/>
    <row r="153" s="347" customFormat="1"/>
    <row r="154" s="347" customFormat="1"/>
    <row r="155" s="347" customFormat="1"/>
    <row r="156" s="347" customFormat="1"/>
    <row r="157" s="347" customFormat="1"/>
    <row r="158" s="347" customFormat="1"/>
    <row r="159" s="347" customFormat="1"/>
    <row r="160" s="347" customFormat="1"/>
    <row r="161" s="347" customFormat="1"/>
    <row r="162" s="347" customFormat="1"/>
    <row r="163" s="347" customFormat="1"/>
    <row r="164" s="347" customFormat="1"/>
    <row r="165" s="347" customFormat="1"/>
    <row r="166" s="347" customFormat="1"/>
    <row r="167" s="347" customFormat="1"/>
    <row r="168" s="347" customFormat="1"/>
    <row r="169" s="347" customFormat="1"/>
    <row r="170" s="347" customFormat="1"/>
    <row r="171" s="347" customFormat="1"/>
    <row r="172" s="347" customFormat="1"/>
    <row r="173" s="347" customFormat="1"/>
    <row r="174" s="347" customFormat="1"/>
    <row r="175" s="347" customFormat="1"/>
    <row r="176" s="347" customFormat="1"/>
    <row r="177" s="347" customFormat="1"/>
    <row r="178" s="347" customFormat="1"/>
    <row r="179" s="347" customFormat="1"/>
    <row r="180" s="347" customFormat="1"/>
    <row r="181" s="347" customFormat="1"/>
    <row r="182" s="347" customFormat="1"/>
    <row r="183" s="347" customFormat="1"/>
    <row r="184" s="347" customFormat="1"/>
    <row r="185" s="347" customFormat="1"/>
    <row r="186" s="347" customFormat="1"/>
    <row r="187" s="347" customFormat="1"/>
    <row r="188" s="347" customFormat="1"/>
    <row r="189" s="347" customFormat="1"/>
    <row r="190" s="347" customFormat="1"/>
    <row r="191" s="347" customFormat="1"/>
    <row r="192" s="347" customFormat="1"/>
    <row r="193" s="347" customFormat="1"/>
    <row r="194" s="347" customFormat="1"/>
    <row r="195" s="347" customFormat="1"/>
    <row r="196" s="347" customFormat="1"/>
    <row r="197" s="347" customFormat="1"/>
    <row r="198" s="347" customFormat="1"/>
    <row r="199" s="347" customFormat="1"/>
    <row r="200" s="347" customFormat="1"/>
    <row r="201" s="347" customFormat="1"/>
    <row r="202" s="347" customFormat="1"/>
    <row r="203" s="347" customFormat="1"/>
    <row r="204" s="347" customFormat="1"/>
    <row r="205" s="347" customFormat="1"/>
    <row r="206" s="347" customFormat="1"/>
    <row r="207" s="347" customFormat="1"/>
    <row r="208" s="347" customFormat="1"/>
    <row r="209" s="347" customFormat="1"/>
    <row r="210" s="347" customFormat="1"/>
    <row r="211" s="347" customFormat="1"/>
    <row r="212" s="347" customFormat="1"/>
    <row r="213" s="347" customFormat="1"/>
    <row r="214" s="347" customFormat="1"/>
    <row r="215" s="347" customFormat="1"/>
    <row r="216" s="347" customFormat="1"/>
    <row r="217" s="347" customFormat="1"/>
    <row r="218" s="347" customFormat="1"/>
    <row r="219" s="347" customFormat="1"/>
    <row r="220" s="347" customFormat="1"/>
    <row r="221" s="347" customFormat="1"/>
    <row r="222" s="347" customFormat="1"/>
    <row r="223" s="347" customFormat="1"/>
    <row r="224" s="347" customFormat="1"/>
    <row r="225" s="347" customFormat="1"/>
    <row r="226" s="347" customFormat="1"/>
    <row r="227" s="347" customFormat="1"/>
    <row r="228" s="347" customFormat="1"/>
    <row r="229" s="347" customFormat="1"/>
    <row r="230" s="347" customFormat="1"/>
    <row r="231" s="347" customFormat="1"/>
    <row r="232" s="347" customFormat="1"/>
    <row r="233" s="347" customFormat="1"/>
    <row r="234" s="347" customFormat="1"/>
    <row r="235" s="347" customFormat="1"/>
    <row r="236" s="347" customFormat="1"/>
    <row r="237" s="347" customFormat="1"/>
    <row r="238" s="347" customFormat="1"/>
    <row r="239" s="347" customFormat="1"/>
    <row r="240" s="347" customFormat="1"/>
    <row r="241" s="347" customFormat="1"/>
    <row r="242" s="347" customFormat="1"/>
    <row r="243" s="347" customFormat="1"/>
    <row r="244" s="347" customFormat="1"/>
    <row r="245" s="347" customFormat="1"/>
  </sheetData>
  <sheetProtection algorithmName="SHA-512" hashValue="5Z4n/+QTxqnL4UpXZydC+W+Zm6IYvBjyrctLPqLXuUElZvNvoGoLDjXMRCkexVapNFytjISOrgpV+xrZLkWNoA==" saltValue="4e3VXF1gAkzLGgW8xDGyDg==" spinCount="100000" sheet="1" objects="1" scenarios="1"/>
  <mergeCells count="1">
    <mergeCell ref="A1:B1"/>
  </mergeCells>
  <hyperlinks>
    <hyperlink ref="B21" r:id="rId1" xr:uid="{00000000-0004-0000-0400-000000000000}"/>
    <hyperlink ref="B12" r:id="rId2" xr:uid="{00000000-0004-0000-0400-000001000000}"/>
    <hyperlink ref="B17" r:id="rId3" xr:uid="{00000000-0004-0000-0400-000002000000}"/>
  </hyperlinks>
  <pageMargins left="0.39370078740157483" right="0.39370078740157483" top="0.39370078740157483" bottom="0.39370078740157483" header="0.31496062992125984" footer="0.31496062992125984"/>
  <pageSetup paperSize="9" scale="92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autoPageBreaks="0" fitToPage="1"/>
  </sheetPr>
  <dimension ref="A1:N204"/>
  <sheetViews>
    <sheetView showZeros="0" showOutlineSymbols="0" topLeftCell="A13" zoomScaleNormal="100" workbookViewId="0">
      <selection activeCell="F32" sqref="F32"/>
    </sheetView>
  </sheetViews>
  <sheetFormatPr defaultColWidth="9.140625" defaultRowHeight="12.75"/>
  <cols>
    <col min="1" max="1" width="8.28515625" style="4" customWidth="1"/>
    <col min="2" max="2" width="4.7109375" style="4" customWidth="1"/>
    <col min="3" max="3" width="8.28515625" style="4" customWidth="1"/>
    <col min="4" max="4" width="4.7109375" style="4" customWidth="1"/>
    <col min="5" max="5" width="8.28515625" style="3" customWidth="1"/>
    <col min="6" max="6" width="11" style="3" customWidth="1"/>
    <col min="7" max="7" width="7.140625" style="3" customWidth="1"/>
    <col min="8" max="8" width="14.7109375" style="4" customWidth="1"/>
    <col min="9" max="9" width="7.28515625" style="4" customWidth="1"/>
    <col min="10" max="10" width="9.85546875" style="3" customWidth="1"/>
    <col min="11" max="11" width="4.42578125" style="4" customWidth="1"/>
    <col min="12" max="12" width="10.7109375" style="4" customWidth="1"/>
    <col min="13" max="16384" width="9.140625" style="3"/>
  </cols>
  <sheetData>
    <row r="1" spans="1:12">
      <c r="A1" s="914" t="s">
        <v>319</v>
      </c>
      <c r="B1" s="914"/>
      <c r="C1" s="915"/>
      <c r="D1" s="915"/>
      <c r="E1" s="915"/>
      <c r="F1" s="915"/>
      <c r="G1" s="915"/>
      <c r="H1" s="915"/>
      <c r="I1" s="915"/>
      <c r="J1" s="915"/>
      <c r="K1" s="915"/>
      <c r="L1" s="915"/>
    </row>
    <row r="2" spans="1:12">
      <c r="A2" s="926" t="s">
        <v>159</v>
      </c>
      <c r="B2" s="926"/>
      <c r="C2" s="789"/>
      <c r="D2" s="789"/>
      <c r="E2" s="789"/>
      <c r="F2" s="789"/>
      <c r="G2" s="789"/>
      <c r="H2" s="789"/>
      <c r="I2" s="789"/>
      <c r="J2" s="789"/>
      <c r="K2" s="789"/>
      <c r="L2" s="789"/>
    </row>
    <row r="3" spans="1:12" ht="20.25" customHeight="1">
      <c r="A3" s="919">
        <f>+ZAKL_DATA!B13</f>
        <v>0</v>
      </c>
      <c r="B3" s="920"/>
      <c r="C3" s="921"/>
      <c r="D3" s="921"/>
      <c r="E3" s="921"/>
      <c r="F3" s="922"/>
      <c r="G3" s="927"/>
      <c r="H3" s="928"/>
      <c r="I3" s="928"/>
      <c r="J3" s="928"/>
      <c r="K3" s="928"/>
      <c r="L3" s="928"/>
    </row>
    <row r="4" spans="1:12">
      <c r="A4" s="926" t="s">
        <v>160</v>
      </c>
      <c r="B4" s="926"/>
      <c r="C4" s="789"/>
      <c r="D4" s="789"/>
      <c r="E4" s="789"/>
      <c r="F4" s="789"/>
      <c r="G4" s="789"/>
      <c r="H4" s="789"/>
      <c r="I4" s="789"/>
      <c r="J4" s="789"/>
      <c r="K4" s="789"/>
      <c r="L4" s="789"/>
    </row>
    <row r="5" spans="1:12" ht="20.25" customHeight="1">
      <c r="A5" s="919">
        <f>+ZAKL_DATA!B14</f>
        <v>0</v>
      </c>
      <c r="B5" s="920"/>
      <c r="C5" s="921"/>
      <c r="D5" s="921"/>
      <c r="E5" s="921"/>
      <c r="F5" s="922"/>
      <c r="G5" s="916"/>
      <c r="H5" s="932" t="s">
        <v>246</v>
      </c>
      <c r="I5" s="933"/>
      <c r="J5" s="933"/>
      <c r="K5" s="933"/>
      <c r="L5" s="934"/>
    </row>
    <row r="6" spans="1:12">
      <c r="A6" s="929" t="s">
        <v>154</v>
      </c>
      <c r="B6" s="929"/>
      <c r="C6" s="930"/>
      <c r="D6" s="930"/>
      <c r="E6" s="930"/>
      <c r="F6" s="930"/>
      <c r="G6" s="917"/>
      <c r="H6" s="935"/>
      <c r="I6" s="813"/>
      <c r="J6" s="813"/>
      <c r="K6" s="813"/>
      <c r="L6" s="917"/>
    </row>
    <row r="7" spans="1:12" ht="20.25" customHeight="1">
      <c r="A7" s="923" t="str">
        <f>IF(EXACT(LEFT(+ZAKL_DATA!D2,1),"C"),+ZAKL_DATA!D2," ")</f>
        <v>CZ</v>
      </c>
      <c r="B7" s="873"/>
      <c r="C7" s="924"/>
      <c r="D7" s="924"/>
      <c r="E7" s="924"/>
      <c r="F7" s="925"/>
      <c r="G7" s="917"/>
      <c r="H7" s="935"/>
      <c r="I7" s="813"/>
      <c r="J7" s="813"/>
      <c r="K7" s="813"/>
      <c r="L7" s="917"/>
    </row>
    <row r="8" spans="1:12">
      <c r="A8" s="931" t="s">
        <v>155</v>
      </c>
      <c r="B8" s="931"/>
      <c r="C8" s="930"/>
      <c r="D8" s="930"/>
      <c r="E8" s="930"/>
      <c r="F8" s="918"/>
      <c r="G8" s="789"/>
      <c r="H8" s="935"/>
      <c r="I8" s="813"/>
      <c r="J8" s="813"/>
      <c r="K8" s="813"/>
      <c r="L8" s="917"/>
    </row>
    <row r="9" spans="1:12" ht="20.25" customHeight="1">
      <c r="A9" s="872" t="str">
        <f>IF(EXACT(LEFT(+ZAKL_DATA!D2,1),"C"),+MID(A7,3,20),+ZAKL_DATA!D2)</f>
        <v/>
      </c>
      <c r="B9" s="873"/>
      <c r="C9" s="873"/>
      <c r="D9" s="873"/>
      <c r="E9" s="874"/>
      <c r="F9" s="789"/>
      <c r="G9" s="789"/>
      <c r="H9" s="935"/>
      <c r="I9" s="813"/>
      <c r="J9" s="813"/>
      <c r="K9" s="813"/>
      <c r="L9" s="917"/>
    </row>
    <row r="10" spans="1:12">
      <c r="A10" s="812"/>
      <c r="B10" s="812"/>
      <c r="C10" s="812"/>
      <c r="D10" s="812"/>
      <c r="E10" s="812"/>
      <c r="F10" s="789"/>
      <c r="G10" s="789"/>
      <c r="H10" s="936"/>
      <c r="I10" s="937"/>
      <c r="J10" s="937"/>
      <c r="K10" s="937"/>
      <c r="L10" s="938"/>
    </row>
    <row r="11" spans="1:12">
      <c r="A11" s="812" t="s">
        <v>237</v>
      </c>
      <c r="B11" s="812"/>
      <c r="C11" s="813"/>
      <c r="D11" s="813"/>
      <c r="E11" s="813"/>
      <c r="F11" s="789"/>
      <c r="G11" s="789"/>
      <c r="H11" s="789"/>
      <c r="I11" s="789"/>
      <c r="J11" s="789"/>
      <c r="K11" s="789"/>
      <c r="L11" s="789"/>
    </row>
    <row r="12" spans="1:12" ht="11.25" customHeight="1">
      <c r="A12" s="73" t="s">
        <v>156</v>
      </c>
      <c r="B12" s="71"/>
      <c r="C12" s="73" t="s">
        <v>256</v>
      </c>
      <c r="D12" s="11"/>
      <c r="E12" s="73" t="s">
        <v>257</v>
      </c>
      <c r="F12" s="72"/>
      <c r="G12" s="893" t="s">
        <v>238</v>
      </c>
      <c r="H12" s="894"/>
      <c r="I12" s="894"/>
      <c r="J12" s="894"/>
      <c r="K12" s="12"/>
      <c r="L12" s="72"/>
    </row>
    <row r="13" spans="1:12" ht="24" customHeight="1">
      <c r="A13" s="74" t="s">
        <v>258</v>
      </c>
      <c r="B13" s="71"/>
      <c r="C13" s="74"/>
      <c r="D13" s="71"/>
      <c r="E13" s="74"/>
      <c r="F13" s="72"/>
      <c r="G13" s="894"/>
      <c r="H13" s="894"/>
      <c r="I13" s="894"/>
      <c r="J13" s="894"/>
      <c r="K13" s="822"/>
      <c r="L13" s="823"/>
    </row>
    <row r="14" spans="1:12">
      <c r="A14" s="818" t="s">
        <v>228</v>
      </c>
      <c r="B14" s="789"/>
      <c r="C14" s="789"/>
      <c r="D14" s="789"/>
      <c r="E14" s="789"/>
      <c r="F14" s="821"/>
      <c r="G14" s="821"/>
      <c r="H14" s="821"/>
      <c r="I14" s="821"/>
      <c r="J14" s="821"/>
      <c r="K14" s="821"/>
      <c r="L14" s="821"/>
    </row>
    <row r="15" spans="1:12" ht="20.25" customHeight="1">
      <c r="A15" s="74"/>
      <c r="B15" s="814"/>
      <c r="C15" s="815"/>
      <c r="D15" s="815"/>
      <c r="E15" s="815"/>
      <c r="F15" s="819"/>
      <c r="G15" s="820"/>
      <c r="H15" s="820"/>
      <c r="I15" s="820"/>
      <c r="J15" s="132" t="s">
        <v>360</v>
      </c>
      <c r="K15" s="822"/>
      <c r="L15" s="823"/>
    </row>
    <row r="16" spans="1:12">
      <c r="A16" s="828"/>
      <c r="B16" s="829"/>
      <c r="C16" s="829"/>
      <c r="D16" s="829"/>
      <c r="E16" s="829"/>
      <c r="F16" s="820"/>
      <c r="G16" s="820"/>
      <c r="H16" s="820"/>
      <c r="I16" s="820"/>
      <c r="J16" s="75"/>
      <c r="K16" s="77"/>
      <c r="L16" s="76"/>
    </row>
    <row r="17" spans="1:14" ht="24" customHeight="1">
      <c r="A17" s="890" t="s">
        <v>89</v>
      </c>
      <c r="B17" s="891"/>
      <c r="C17" s="891"/>
      <c r="D17" s="891"/>
      <c r="E17" s="891"/>
      <c r="F17" s="891"/>
      <c r="G17" s="891"/>
      <c r="H17" s="892"/>
      <c r="I17" s="126" t="s">
        <v>236</v>
      </c>
      <c r="J17" s="74"/>
      <c r="K17" s="125" t="s">
        <v>141</v>
      </c>
      <c r="L17" s="74" t="s">
        <v>258</v>
      </c>
    </row>
    <row r="18" spans="1:14" ht="9" customHeight="1">
      <c r="A18" s="824"/>
      <c r="B18" s="824"/>
      <c r="C18" s="821"/>
      <c r="D18" s="821"/>
      <c r="E18" s="821"/>
      <c r="F18" s="821"/>
      <c r="G18" s="821"/>
      <c r="H18" s="821"/>
      <c r="I18" s="821"/>
      <c r="J18" s="821"/>
      <c r="K18" s="821"/>
      <c r="L18" s="821"/>
    </row>
    <row r="19" spans="1:14" ht="24" customHeight="1">
      <c r="A19" s="825" t="s">
        <v>240</v>
      </c>
      <c r="B19" s="826"/>
      <c r="C19" s="826"/>
      <c r="D19" s="826"/>
      <c r="E19" s="826"/>
      <c r="F19" s="826"/>
      <c r="G19" s="826"/>
      <c r="H19" s="827"/>
      <c r="I19" s="126" t="s">
        <v>236</v>
      </c>
      <c r="J19" s="74"/>
      <c r="K19" s="125" t="s">
        <v>141</v>
      </c>
      <c r="L19" s="74" t="s">
        <v>258</v>
      </c>
    </row>
    <row r="20" spans="1:14" ht="20.100000000000001" customHeight="1">
      <c r="A20" s="824"/>
      <c r="B20" s="824"/>
      <c r="C20" s="824"/>
      <c r="D20" s="824"/>
      <c r="E20" s="824"/>
      <c r="F20" s="824"/>
      <c r="G20" s="824"/>
      <c r="H20" s="824"/>
      <c r="I20" s="824"/>
      <c r="J20" s="824"/>
      <c r="K20" s="824"/>
      <c r="L20" s="824"/>
    </row>
    <row r="21" spans="1:14" ht="27.95" customHeight="1">
      <c r="A21" s="882" t="s">
        <v>104</v>
      </c>
      <c r="B21" s="883"/>
      <c r="C21" s="883"/>
      <c r="D21" s="883"/>
      <c r="E21" s="883"/>
      <c r="F21" s="883"/>
      <c r="G21" s="883"/>
      <c r="H21" s="883"/>
      <c r="I21" s="883"/>
      <c r="J21" s="883"/>
      <c r="K21" s="883"/>
      <c r="L21" s="883"/>
    </row>
    <row r="22" spans="1:14" ht="18" customHeight="1">
      <c r="A22" s="884" t="s">
        <v>105</v>
      </c>
      <c r="B22" s="884"/>
      <c r="C22" s="820"/>
      <c r="D22" s="820"/>
      <c r="E22" s="820"/>
      <c r="F22" s="820"/>
      <c r="G22" s="820"/>
      <c r="H22" s="820"/>
      <c r="I22" s="820"/>
      <c r="J22" s="820"/>
      <c r="K22" s="789"/>
      <c r="L22" s="789"/>
      <c r="M22" s="23"/>
      <c r="N22" s="23"/>
    </row>
    <row r="23" spans="1:14" s="110" customFormat="1" ht="18" customHeight="1">
      <c r="A23" s="880" t="s">
        <v>3466</v>
      </c>
      <c r="B23" s="880"/>
      <c r="C23" s="881"/>
      <c r="D23" s="881"/>
      <c r="E23" s="881"/>
      <c r="F23" s="881"/>
      <c r="G23" s="881"/>
      <c r="H23" s="881"/>
      <c r="I23" s="881"/>
      <c r="J23" s="881"/>
      <c r="K23" s="881"/>
      <c r="L23" s="881"/>
      <c r="M23" s="116"/>
      <c r="N23" s="116"/>
    </row>
    <row r="24" spans="1:14" s="110" customFormat="1" ht="24" customHeight="1">
      <c r="A24" s="885" t="s">
        <v>260</v>
      </c>
      <c r="B24" s="886"/>
      <c r="C24" s="886"/>
      <c r="D24" s="886"/>
      <c r="E24" s="887"/>
      <c r="F24" s="816">
        <v>2021</v>
      </c>
      <c r="G24" s="817"/>
      <c r="H24" s="888" t="s">
        <v>189</v>
      </c>
      <c r="I24" s="889"/>
      <c r="J24" s="172"/>
      <c r="K24" s="171" t="s">
        <v>259</v>
      </c>
      <c r="L24" s="172"/>
      <c r="M24" s="116"/>
      <c r="N24" s="116"/>
    </row>
    <row r="25" spans="1:14" ht="18" customHeight="1">
      <c r="A25" s="824" t="s">
        <v>3467</v>
      </c>
      <c r="B25" s="824"/>
      <c r="C25" s="821"/>
      <c r="D25" s="821"/>
      <c r="E25" s="821"/>
      <c r="F25" s="821"/>
      <c r="G25" s="821"/>
      <c r="H25" s="821"/>
      <c r="I25" s="821"/>
      <c r="J25" s="821"/>
      <c r="K25" s="821"/>
      <c r="L25" s="821"/>
      <c r="M25" s="23"/>
      <c r="N25" s="23"/>
    </row>
    <row r="26" spans="1:14" ht="9.9499999999999993" customHeight="1">
      <c r="A26" s="824"/>
      <c r="B26" s="824"/>
      <c r="C26" s="821"/>
      <c r="D26" s="821"/>
      <c r="E26" s="821"/>
      <c r="F26" s="821"/>
      <c r="G26" s="821"/>
      <c r="H26" s="821"/>
      <c r="I26" s="821"/>
      <c r="J26" s="821"/>
      <c r="K26" s="821"/>
      <c r="L26" s="821"/>
      <c r="M26" s="23"/>
      <c r="N26" s="23"/>
    </row>
    <row r="27" spans="1:14" ht="15" customHeight="1" thickBot="1">
      <c r="A27" s="837" t="s">
        <v>140</v>
      </c>
      <c r="B27" s="837"/>
      <c r="C27" s="838"/>
      <c r="D27" s="838"/>
      <c r="E27" s="838"/>
      <c r="F27" s="838"/>
      <c r="G27" s="838"/>
      <c r="H27" s="838"/>
      <c r="I27" s="838"/>
      <c r="J27" s="838"/>
      <c r="K27" s="838"/>
      <c r="L27" s="838"/>
      <c r="M27" s="23"/>
      <c r="N27" s="23"/>
    </row>
    <row r="28" spans="1:14" ht="24" customHeight="1">
      <c r="A28" s="243" t="s">
        <v>1</v>
      </c>
      <c r="B28" s="895">
        <f>+ZAKL_DATA!B5</f>
        <v>0</v>
      </c>
      <c r="C28" s="896"/>
      <c r="D28" s="896"/>
      <c r="E28" s="897"/>
      <c r="F28" s="244" t="s">
        <v>3794</v>
      </c>
      <c r="G28" s="895">
        <f>+ZAKL_DATA!B6</f>
        <v>0</v>
      </c>
      <c r="H28" s="898"/>
      <c r="I28" s="245" t="s">
        <v>288</v>
      </c>
      <c r="J28" s="899">
        <f>+ZAKL_DATA!B4</f>
        <v>0</v>
      </c>
      <c r="K28" s="900"/>
      <c r="L28" s="901"/>
      <c r="M28" s="23"/>
      <c r="N28" s="23"/>
    </row>
    <row r="29" spans="1:14" ht="24" customHeight="1" thickBot="1">
      <c r="A29" s="246" t="s">
        <v>3793</v>
      </c>
      <c r="B29" s="909">
        <f>+ZAKL_DATA!B7</f>
        <v>0</v>
      </c>
      <c r="C29" s="910"/>
      <c r="D29" s="910"/>
      <c r="E29" s="809"/>
      <c r="F29" s="845" t="s">
        <v>2</v>
      </c>
      <c r="G29" s="846"/>
      <c r="H29" s="371">
        <f>+ZAKL_DATA!B20</f>
        <v>0</v>
      </c>
      <c r="I29" s="247" t="s">
        <v>3</v>
      </c>
      <c r="J29" s="906"/>
      <c r="K29" s="907"/>
      <c r="L29" s="908"/>
      <c r="M29" s="23"/>
      <c r="N29" s="23"/>
    </row>
    <row r="30" spans="1:14" ht="15" customHeight="1" thickBot="1">
      <c r="A30" s="913" t="s">
        <v>208</v>
      </c>
      <c r="B30" s="913"/>
      <c r="C30" s="864"/>
      <c r="D30" s="864"/>
      <c r="E30" s="864"/>
      <c r="F30" s="864"/>
      <c r="G30" s="864"/>
      <c r="H30" s="864"/>
      <c r="I30" s="864"/>
      <c r="J30" s="864"/>
      <c r="K30" s="864"/>
      <c r="L30" s="864"/>
      <c r="M30" s="23"/>
      <c r="N30" s="23"/>
    </row>
    <row r="31" spans="1:14" ht="24" customHeight="1">
      <c r="A31" s="243" t="s">
        <v>4</v>
      </c>
      <c r="B31" s="805">
        <f>+ZAKL_DATA!B18</f>
        <v>0</v>
      </c>
      <c r="C31" s="911"/>
      <c r="D31" s="911"/>
      <c r="E31" s="912"/>
      <c r="F31" s="248" t="s">
        <v>3468</v>
      </c>
      <c r="G31" s="805">
        <f>+ZAKL_DATA!B16</f>
        <v>0</v>
      </c>
      <c r="H31" s="904"/>
      <c r="I31" s="905"/>
      <c r="J31" s="902" t="s">
        <v>5</v>
      </c>
      <c r="K31" s="903"/>
      <c r="L31" s="15">
        <f>+ZAKL_DATA!B17</f>
        <v>0</v>
      </c>
      <c r="M31" s="23"/>
      <c r="N31" s="23"/>
    </row>
    <row r="32" spans="1:14" ht="24" customHeight="1" thickBot="1">
      <c r="A32" s="246" t="s">
        <v>190</v>
      </c>
      <c r="B32" s="808">
        <f>+ZAKL_DATA!B19</f>
        <v>0</v>
      </c>
      <c r="C32" s="809"/>
      <c r="D32" s="858" t="s">
        <v>3795</v>
      </c>
      <c r="E32" s="859"/>
      <c r="F32" s="257">
        <f>+ZAKL_DATA!B25</f>
        <v>0</v>
      </c>
      <c r="G32" s="249" t="s">
        <v>3796</v>
      </c>
      <c r="H32" s="868">
        <f>+ZAKL_DATA!B27</f>
        <v>0</v>
      </c>
      <c r="I32" s="869"/>
      <c r="J32" s="250" t="s">
        <v>191</v>
      </c>
      <c r="K32" s="830">
        <f>+ZAKL_DATA!B20</f>
        <v>0</v>
      </c>
      <c r="L32" s="831"/>
      <c r="M32" s="23"/>
      <c r="N32" s="23"/>
    </row>
    <row r="33" spans="1:14" ht="15" customHeight="1">
      <c r="A33" s="865" t="s">
        <v>3618</v>
      </c>
      <c r="B33" s="866"/>
      <c r="C33" s="866"/>
      <c r="D33" s="866"/>
      <c r="E33" s="866"/>
      <c r="F33" s="866"/>
      <c r="G33" s="866"/>
      <c r="H33" s="866"/>
      <c r="I33" s="866"/>
      <c r="J33" s="866"/>
      <c r="K33" s="867"/>
      <c r="L33" s="867"/>
      <c r="M33" s="23"/>
      <c r="N33" s="23"/>
    </row>
    <row r="34" spans="1:14" ht="15" customHeight="1" thickBot="1">
      <c r="A34" s="862" t="s">
        <v>110</v>
      </c>
      <c r="B34" s="863"/>
      <c r="C34" s="863"/>
      <c r="D34" s="863"/>
      <c r="E34" s="863"/>
      <c r="F34" s="863"/>
      <c r="G34" s="863"/>
      <c r="H34" s="863"/>
      <c r="I34" s="863"/>
      <c r="J34" s="863"/>
      <c r="K34" s="864"/>
      <c r="L34" s="864"/>
      <c r="M34" s="23"/>
      <c r="N34" s="23"/>
    </row>
    <row r="35" spans="1:14" ht="24" customHeight="1" thickBot="1">
      <c r="A35" s="251" t="s">
        <v>192</v>
      </c>
      <c r="B35" s="847"/>
      <c r="C35" s="848"/>
      <c r="D35" s="848"/>
      <c r="E35" s="849"/>
      <c r="F35" s="252" t="s">
        <v>109</v>
      </c>
      <c r="G35" s="810"/>
      <c r="H35" s="811"/>
      <c r="I35" s="253" t="s">
        <v>65</v>
      </c>
      <c r="J35" s="254"/>
      <c r="K35" s="255" t="s">
        <v>193</v>
      </c>
      <c r="L35" s="256"/>
      <c r="M35" s="133"/>
      <c r="N35" s="134"/>
    </row>
    <row r="36" spans="1:14" ht="15" customHeight="1">
      <c r="A36" s="853" t="s">
        <v>3636</v>
      </c>
      <c r="B36" s="854"/>
      <c r="C36" s="854"/>
      <c r="D36" s="854"/>
      <c r="E36" s="854"/>
      <c r="F36" s="854"/>
      <c r="G36" s="854"/>
      <c r="H36" s="854"/>
      <c r="I36" s="854"/>
      <c r="J36" s="854"/>
      <c r="K36" s="789"/>
      <c r="L36" s="789"/>
      <c r="M36" s="23"/>
      <c r="N36" s="23"/>
    </row>
    <row r="37" spans="1:14" ht="15" customHeight="1" thickBot="1">
      <c r="A37" s="855" t="s">
        <v>320</v>
      </c>
      <c r="B37" s="856"/>
      <c r="C37" s="856"/>
      <c r="D37" s="856"/>
      <c r="E37" s="856"/>
      <c r="F37" s="856"/>
      <c r="G37" s="856"/>
      <c r="H37" s="856"/>
      <c r="I37" s="856"/>
      <c r="J37" s="856"/>
      <c r="K37" s="857"/>
      <c r="L37" s="857"/>
      <c r="M37" s="23"/>
      <c r="N37" s="23"/>
    </row>
    <row r="38" spans="1:14" ht="24" customHeight="1">
      <c r="A38" s="13" t="s">
        <v>194</v>
      </c>
      <c r="B38" s="805"/>
      <c r="C38" s="806"/>
      <c r="D38" s="806"/>
      <c r="E38" s="807"/>
      <c r="F38" s="115" t="s">
        <v>3469</v>
      </c>
      <c r="G38" s="850"/>
      <c r="H38" s="851"/>
      <c r="I38" s="852"/>
      <c r="J38" s="860" t="s">
        <v>195</v>
      </c>
      <c r="K38" s="861"/>
      <c r="L38" s="15"/>
      <c r="M38" s="133"/>
      <c r="N38" s="134"/>
    </row>
    <row r="39" spans="1:14" ht="24" customHeight="1" thickBot="1">
      <c r="A39" s="14" t="s">
        <v>196</v>
      </c>
      <c r="B39" s="808"/>
      <c r="C39" s="836"/>
      <c r="D39" s="875" t="s">
        <v>3836</v>
      </c>
      <c r="E39" s="876"/>
      <c r="F39" s="835"/>
      <c r="G39" s="836"/>
      <c r="H39" s="643" t="s">
        <v>3837</v>
      </c>
      <c r="I39" s="832"/>
      <c r="J39" s="833"/>
      <c r="K39" s="833"/>
      <c r="L39" s="834"/>
      <c r="M39" s="133"/>
      <c r="N39" s="134"/>
    </row>
    <row r="40" spans="1:14" ht="12" customHeight="1">
      <c r="A40" s="840"/>
      <c r="B40" s="841"/>
      <c r="C40" s="841"/>
      <c r="D40" s="841"/>
      <c r="E40" s="841"/>
      <c r="F40" s="841"/>
      <c r="G40" s="841"/>
      <c r="H40" s="841"/>
      <c r="I40" s="841"/>
      <c r="J40" s="841"/>
      <c r="K40" s="841"/>
      <c r="L40" s="841"/>
      <c r="M40" s="23"/>
      <c r="N40" s="23"/>
    </row>
    <row r="41" spans="1:14" ht="24" customHeight="1">
      <c r="A41" s="842" t="s">
        <v>111</v>
      </c>
      <c r="B41" s="843"/>
      <c r="C41" s="843"/>
      <c r="D41" s="843"/>
      <c r="E41" s="844"/>
      <c r="F41" s="117"/>
      <c r="G41" s="118"/>
      <c r="H41" s="943" t="s">
        <v>55</v>
      </c>
      <c r="I41" s="944"/>
      <c r="J41" s="945"/>
      <c r="K41" s="941"/>
      <c r="L41" s="942"/>
      <c r="M41" s="23"/>
      <c r="N41" s="23"/>
    </row>
    <row r="42" spans="1:14" ht="12" customHeight="1">
      <c r="A42" s="879"/>
      <c r="B42" s="789"/>
      <c r="C42" s="789"/>
      <c r="D42" s="789"/>
      <c r="E42" s="789"/>
      <c r="F42" s="789"/>
      <c r="G42" s="789"/>
      <c r="H42" s="789"/>
      <c r="I42" s="789"/>
      <c r="J42" s="789"/>
      <c r="K42" s="789"/>
      <c r="L42" s="789"/>
      <c r="M42" s="23"/>
      <c r="N42" s="23"/>
    </row>
    <row r="43" spans="1:14" ht="24" customHeight="1">
      <c r="A43" s="877" t="s">
        <v>3572</v>
      </c>
      <c r="B43" s="878"/>
      <c r="C43" s="878"/>
      <c r="D43" s="878"/>
      <c r="E43" s="125" t="s">
        <v>236</v>
      </c>
      <c r="F43" s="74"/>
      <c r="G43" s="125" t="s">
        <v>141</v>
      </c>
      <c r="H43" s="74" t="s">
        <v>258</v>
      </c>
      <c r="I43" s="839"/>
      <c r="J43" s="789"/>
      <c r="K43" s="789"/>
      <c r="L43" s="789"/>
      <c r="M43" s="23"/>
      <c r="N43" s="23"/>
    </row>
    <row r="44" spans="1:14" ht="9" customHeight="1">
      <c r="A44" s="939"/>
      <c r="B44" s="789"/>
      <c r="C44" s="789"/>
      <c r="D44" s="789"/>
      <c r="E44" s="789"/>
      <c r="F44" s="789"/>
      <c r="G44" s="789"/>
      <c r="H44" s="789"/>
      <c r="I44" s="789"/>
      <c r="J44" s="789"/>
      <c r="K44" s="789"/>
      <c r="L44" s="789"/>
      <c r="M44" s="23"/>
      <c r="N44" s="23"/>
    </row>
    <row r="45" spans="1:14" ht="9" customHeight="1">
      <c r="A45" s="940" t="s">
        <v>3838</v>
      </c>
      <c r="B45" s="940"/>
      <c r="C45" s="789"/>
      <c r="D45" s="789"/>
      <c r="E45" s="789"/>
      <c r="F45" s="789"/>
      <c r="G45" s="789"/>
      <c r="H45" s="789"/>
      <c r="I45" s="789"/>
      <c r="J45" s="789"/>
      <c r="K45" s="789"/>
      <c r="L45" s="789"/>
    </row>
    <row r="46" spans="1:14" ht="10.5" customHeight="1">
      <c r="A46" s="870" t="s">
        <v>247</v>
      </c>
      <c r="B46" s="871"/>
      <c r="C46" s="871"/>
      <c r="D46" s="871"/>
      <c r="E46" s="871"/>
      <c r="F46" s="871"/>
      <c r="G46" s="871"/>
      <c r="H46" s="871"/>
      <c r="I46" s="871"/>
      <c r="J46" s="871"/>
      <c r="K46" s="871"/>
      <c r="L46" s="871"/>
    </row>
    <row r="47" spans="1:14" ht="10.5" customHeight="1">
      <c r="A47" s="870">
        <f>+ZAKL_DATA!A44</f>
        <v>0</v>
      </c>
      <c r="B47" s="871"/>
      <c r="C47" s="871"/>
      <c r="D47" s="871"/>
      <c r="E47" s="871"/>
      <c r="F47" s="871"/>
      <c r="G47" s="871"/>
      <c r="H47" s="871"/>
      <c r="I47" s="871"/>
      <c r="J47" s="871"/>
      <c r="K47" s="871"/>
      <c r="L47" s="871"/>
    </row>
    <row r="48" spans="1:14" ht="10.5" customHeight="1">
      <c r="A48" s="824">
        <v>1</v>
      </c>
      <c r="B48" s="789"/>
      <c r="C48" s="789"/>
      <c r="D48" s="789"/>
      <c r="E48" s="789"/>
      <c r="F48" s="789"/>
      <c r="G48" s="789"/>
      <c r="H48" s="789"/>
      <c r="I48" s="789"/>
      <c r="J48" s="789"/>
      <c r="K48" s="789"/>
      <c r="L48" s="789"/>
    </row>
    <row r="49" spans="1:12" ht="11.25" customHeight="1">
      <c r="A49" s="5"/>
      <c r="B49" s="5"/>
      <c r="E49" s="4"/>
      <c r="F49" s="4"/>
      <c r="G49" s="4"/>
    </row>
    <row r="50" spans="1:12">
      <c r="A50" s="3"/>
      <c r="B50" s="3"/>
      <c r="C50" s="3"/>
      <c r="D50" s="3"/>
      <c r="H50" s="6"/>
      <c r="I50" s="3"/>
      <c r="K50" s="3"/>
      <c r="L50" s="3"/>
    </row>
    <row r="51" spans="1:12" ht="12.95" customHeight="1">
      <c r="A51" s="3"/>
      <c r="B51" s="3"/>
      <c r="C51" s="3"/>
      <c r="D51" s="3"/>
      <c r="H51" s="3"/>
      <c r="I51" s="3"/>
      <c r="K51" s="3"/>
      <c r="L51" s="3"/>
    </row>
    <row r="52" spans="1:12" ht="12.95" customHeight="1">
      <c r="A52" s="3"/>
      <c r="B52" s="3"/>
      <c r="C52" s="3"/>
      <c r="D52" s="3"/>
      <c r="H52" s="3"/>
      <c r="I52" s="3"/>
      <c r="K52" s="3"/>
      <c r="L52" s="3"/>
    </row>
    <row r="53" spans="1:12" ht="12.95" customHeight="1">
      <c r="A53" s="3"/>
      <c r="B53" s="3"/>
      <c r="C53" s="3"/>
      <c r="D53" s="3"/>
      <c r="H53" s="3"/>
      <c r="I53" s="3"/>
      <c r="K53" s="3"/>
      <c r="L53" s="3"/>
    </row>
    <row r="54" spans="1:12" ht="12.95" customHeight="1">
      <c r="A54" s="3"/>
      <c r="B54" s="3"/>
      <c r="C54" s="3"/>
      <c r="D54" s="3"/>
      <c r="H54" s="3"/>
      <c r="I54" s="3"/>
      <c r="K54" s="3"/>
      <c r="L54" s="3"/>
    </row>
    <row r="55" spans="1:12" ht="12.95" hidden="1" customHeight="1">
      <c r="A55" s="3" t="s">
        <v>92</v>
      </c>
      <c r="B55" s="3"/>
      <c r="C55" s="3"/>
      <c r="D55" s="3"/>
      <c r="H55" s="3"/>
      <c r="I55" s="3"/>
      <c r="K55" s="3"/>
      <c r="L55" s="3"/>
    </row>
    <row r="56" spans="1:12" ht="12.95" hidden="1" customHeight="1">
      <c r="A56" s="3" t="s">
        <v>93</v>
      </c>
      <c r="B56" s="3"/>
      <c r="C56" s="3"/>
      <c r="D56" s="3"/>
      <c r="H56" s="3"/>
      <c r="I56" s="3"/>
      <c r="K56" s="3"/>
      <c r="L56" s="3"/>
    </row>
    <row r="57" spans="1:12" ht="12.95" customHeight="1">
      <c r="A57" s="3"/>
      <c r="B57" s="3"/>
      <c r="C57" s="3"/>
      <c r="D57" s="3"/>
      <c r="H57" s="3"/>
      <c r="I57" s="3"/>
      <c r="K57" s="3"/>
      <c r="L57" s="3"/>
    </row>
    <row r="58" spans="1:12" ht="12.95" customHeight="1">
      <c r="A58" s="3"/>
      <c r="B58" s="3"/>
      <c r="C58" s="3"/>
      <c r="D58" s="3"/>
      <c r="H58" s="3"/>
      <c r="I58" s="3"/>
      <c r="K58" s="3"/>
      <c r="L58" s="3"/>
    </row>
    <row r="59" spans="1:12" ht="12.95" customHeight="1">
      <c r="A59" s="3"/>
      <c r="B59" s="3"/>
      <c r="C59" s="3"/>
      <c r="D59" s="3"/>
      <c r="H59" s="3"/>
      <c r="I59" s="3"/>
      <c r="K59" s="3"/>
      <c r="L59" s="3"/>
    </row>
    <row r="60" spans="1:12" ht="12.95" customHeight="1">
      <c r="E60" s="4"/>
      <c r="F60" s="4"/>
      <c r="G60" s="5"/>
      <c r="H60" s="3"/>
    </row>
    <row r="61" spans="1:12">
      <c r="E61" s="4"/>
      <c r="F61" s="4"/>
      <c r="G61" s="4"/>
    </row>
    <row r="62" spans="1:12">
      <c r="E62" s="4"/>
      <c r="F62" s="4"/>
      <c r="G62" s="4"/>
    </row>
    <row r="63" spans="1:12">
      <c r="E63" s="4"/>
      <c r="F63" s="4"/>
      <c r="G63" s="4"/>
    </row>
    <row r="64" spans="1:12">
      <c r="E64" s="4"/>
      <c r="F64" s="4"/>
      <c r="G64" s="4"/>
    </row>
    <row r="65" spans="5:7">
      <c r="E65" s="4"/>
      <c r="F65" s="4"/>
      <c r="G65" s="4"/>
    </row>
    <row r="66" spans="5:7">
      <c r="E66" s="4"/>
      <c r="F66" s="4"/>
      <c r="G66" s="4"/>
    </row>
    <row r="67" spans="5:7">
      <c r="E67" s="4"/>
      <c r="F67" s="4"/>
      <c r="G67" s="4"/>
    </row>
    <row r="68" spans="5:7">
      <c r="E68" s="4"/>
      <c r="F68" s="4"/>
    </row>
    <row r="69" spans="5:7">
      <c r="E69" s="4"/>
      <c r="F69" s="4"/>
    </row>
    <row r="70" spans="5:7">
      <c r="E70" s="4"/>
      <c r="F70" s="4"/>
    </row>
    <row r="71" spans="5:7">
      <c r="E71" s="4"/>
      <c r="F71" s="4"/>
    </row>
    <row r="72" spans="5:7">
      <c r="E72" s="4"/>
      <c r="F72" s="4"/>
    </row>
    <row r="204" spans="1:1">
      <c r="A204" s="104">
        <v>1</v>
      </c>
    </row>
  </sheetData>
  <sheetProtection algorithmName="SHA-512" hashValue="HWQ2Dl6slSqV5/HyXbuPzmkzMmZ38D/u4Nb5vs8PAOvV719ekMRKox0f7jnG9oqHOudbEHWg/KPT0qxQ7s1kyA==" saltValue="M+WRGuo2jAlD+R+BEywtRg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honeticPr fontId="11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153"/>
  <sheetViews>
    <sheetView workbookViewId="0">
      <selection activeCell="E4" sqref="E4:G4"/>
    </sheetView>
  </sheetViews>
  <sheetFormatPr defaultRowHeight="12.75"/>
  <cols>
    <col min="1" max="1" width="5" customWidth="1"/>
    <col min="2" max="3" width="9.7109375" customWidth="1"/>
    <col min="4" max="4" width="23.28515625" customWidth="1"/>
    <col min="5" max="10" width="8.7109375" customWidth="1"/>
    <col min="11" max="11" width="9.140625" style="78"/>
    <col min="12" max="12" width="41.7109375" style="78" customWidth="1"/>
    <col min="13" max="18" width="14.7109375" style="78" customWidth="1"/>
    <col min="19" max="58" width="9.140625" style="78"/>
  </cols>
  <sheetData>
    <row r="1" spans="1:18">
      <c r="A1" s="946" t="s">
        <v>203</v>
      </c>
      <c r="B1" s="947"/>
      <c r="C1" s="947"/>
      <c r="D1" s="947"/>
      <c r="E1" s="947"/>
      <c r="F1" s="947"/>
      <c r="G1" s="948"/>
      <c r="H1" s="948"/>
      <c r="I1" s="948"/>
      <c r="J1" s="948"/>
    </row>
    <row r="2" spans="1:18" ht="13.5" thickBot="1">
      <c r="A2" s="954" t="s">
        <v>3470</v>
      </c>
      <c r="B2" s="955"/>
      <c r="C2" s="955"/>
      <c r="D2" s="955"/>
      <c r="E2" s="955"/>
      <c r="F2" s="955"/>
      <c r="G2" s="956"/>
      <c r="H2" s="956"/>
      <c r="I2" s="956"/>
      <c r="J2" s="956"/>
    </row>
    <row r="3" spans="1:18" ht="12" customHeight="1">
      <c r="A3" s="969"/>
      <c r="B3" s="970"/>
      <c r="C3" s="970"/>
      <c r="D3" s="971"/>
      <c r="E3" s="972" t="s">
        <v>149</v>
      </c>
      <c r="F3" s="972"/>
      <c r="G3" s="972"/>
      <c r="H3" s="972" t="s">
        <v>157</v>
      </c>
      <c r="I3" s="972"/>
      <c r="J3" s="973"/>
      <c r="L3" s="455" t="s">
        <v>3719</v>
      </c>
      <c r="M3" s="456" t="s">
        <v>3720</v>
      </c>
      <c r="N3" s="457" t="s">
        <v>3721</v>
      </c>
      <c r="O3" s="458" t="s">
        <v>3722</v>
      </c>
      <c r="P3" s="458" t="s">
        <v>3723</v>
      </c>
      <c r="Q3" s="458" t="s">
        <v>3724</v>
      </c>
      <c r="R3" s="459" t="s">
        <v>3725</v>
      </c>
    </row>
    <row r="4" spans="1:18" ht="15.95" customHeight="1">
      <c r="A4" s="21">
        <v>31</v>
      </c>
      <c r="B4" s="949" t="s">
        <v>201</v>
      </c>
      <c r="C4" s="952"/>
      <c r="D4" s="953"/>
      <c r="E4" s="960">
        <f>+M4</f>
        <v>0</v>
      </c>
      <c r="F4" s="961"/>
      <c r="G4" s="962"/>
      <c r="H4" s="963"/>
      <c r="I4" s="964"/>
      <c r="J4" s="965"/>
      <c r="L4" s="460" t="s">
        <v>3726</v>
      </c>
      <c r="M4" s="461">
        <f>+ROUND(SUM(N4:R4)+0.49,0)</f>
        <v>0</v>
      </c>
      <c r="N4" s="462">
        <v>0</v>
      </c>
      <c r="O4" s="463">
        <v>0</v>
      </c>
      <c r="P4" s="463">
        <v>0</v>
      </c>
      <c r="Q4" s="463">
        <v>0</v>
      </c>
      <c r="R4" s="464">
        <v>0</v>
      </c>
    </row>
    <row r="5" spans="1:18" ht="15.95" customHeight="1">
      <c r="A5" s="21">
        <v>32</v>
      </c>
      <c r="B5" s="974" t="s">
        <v>173</v>
      </c>
      <c r="C5" s="975"/>
      <c r="D5" s="976"/>
      <c r="E5" s="983"/>
      <c r="F5" s="984"/>
      <c r="G5" s="985"/>
      <c r="H5" s="963"/>
      <c r="I5" s="964"/>
      <c r="J5" s="965"/>
      <c r="L5" s="460" t="s">
        <v>3727</v>
      </c>
      <c r="M5" s="461">
        <f>+ROUND(SUM(N5:R5)+0.49,0)</f>
        <v>0</v>
      </c>
      <c r="N5" s="462">
        <v>0</v>
      </c>
      <c r="O5" s="463">
        <v>0</v>
      </c>
      <c r="P5" s="463">
        <v>0</v>
      </c>
      <c r="Q5" s="463">
        <v>0</v>
      </c>
      <c r="R5" s="464">
        <v>0</v>
      </c>
    </row>
    <row r="6" spans="1:18" ht="15.95" customHeight="1">
      <c r="A6" s="21">
        <v>33</v>
      </c>
      <c r="B6" s="949" t="s">
        <v>66</v>
      </c>
      <c r="C6" s="950"/>
      <c r="D6" s="951"/>
      <c r="E6" s="960">
        <v>0</v>
      </c>
      <c r="F6" s="961"/>
      <c r="G6" s="962"/>
      <c r="H6" s="963"/>
      <c r="I6" s="964"/>
      <c r="J6" s="965"/>
      <c r="L6" s="460" t="s">
        <v>3728</v>
      </c>
      <c r="M6" s="461">
        <f>+ROUND(SUM(N6:R6)+0.49,0)</f>
        <v>0</v>
      </c>
      <c r="N6" s="462">
        <v>0</v>
      </c>
      <c r="O6" s="463">
        <v>0</v>
      </c>
      <c r="P6" s="463">
        <v>0</v>
      </c>
      <c r="Q6" s="463">
        <v>0</v>
      </c>
      <c r="R6" s="464">
        <v>0</v>
      </c>
    </row>
    <row r="7" spans="1:18" ht="15.95" customHeight="1" thickBot="1">
      <c r="A7" s="21">
        <v>34</v>
      </c>
      <c r="B7" s="949" t="s">
        <v>3471</v>
      </c>
      <c r="C7" s="952"/>
      <c r="D7" s="953"/>
      <c r="E7" s="983">
        <f>+E4-E6</f>
        <v>0</v>
      </c>
      <c r="F7" s="984"/>
      <c r="G7" s="985"/>
      <c r="H7" s="963"/>
      <c r="I7" s="964"/>
      <c r="J7" s="965"/>
      <c r="L7" s="465" t="s">
        <v>3729</v>
      </c>
      <c r="M7" s="466">
        <f>+ROUND(SUM(N7:R7)+0.49,0)</f>
        <v>0</v>
      </c>
      <c r="N7" s="467">
        <v>0</v>
      </c>
      <c r="O7" s="468">
        <v>0</v>
      </c>
      <c r="P7" s="468">
        <v>0</v>
      </c>
      <c r="Q7" s="468">
        <v>0</v>
      </c>
      <c r="R7" s="469">
        <v>0</v>
      </c>
    </row>
    <row r="8" spans="1:18" ht="15.95" customHeight="1" thickBot="1">
      <c r="A8" s="22">
        <v>35</v>
      </c>
      <c r="B8" s="996" t="s">
        <v>3839</v>
      </c>
      <c r="C8" s="988"/>
      <c r="D8" s="989"/>
      <c r="E8" s="977">
        <v>0</v>
      </c>
      <c r="F8" s="978"/>
      <c r="G8" s="979"/>
      <c r="H8" s="980"/>
      <c r="I8" s="981"/>
      <c r="J8" s="982"/>
    </row>
    <row r="9" spans="1:18" ht="12.75" customHeight="1" thickBot="1">
      <c r="A9" s="954" t="s">
        <v>56</v>
      </c>
      <c r="B9" s="955"/>
      <c r="C9" s="955"/>
      <c r="D9" s="955"/>
      <c r="E9" s="955"/>
      <c r="F9" s="955"/>
      <c r="G9" s="956"/>
      <c r="H9" s="956"/>
      <c r="I9" s="956"/>
      <c r="J9" s="956"/>
    </row>
    <row r="10" spans="1:18" ht="15.95" customHeight="1">
      <c r="A10" s="121">
        <v>36</v>
      </c>
      <c r="B10" s="966" t="s">
        <v>57</v>
      </c>
      <c r="C10" s="967"/>
      <c r="D10" s="968"/>
      <c r="E10" s="993">
        <f>+E7</f>
        <v>0</v>
      </c>
      <c r="F10" s="994"/>
      <c r="G10" s="995"/>
      <c r="H10" s="997"/>
      <c r="I10" s="998"/>
      <c r="J10" s="999"/>
    </row>
    <row r="11" spans="1:18" ht="24" customHeight="1">
      <c r="A11" s="21">
        <v>37</v>
      </c>
      <c r="B11" s="949" t="s">
        <v>3637</v>
      </c>
      <c r="C11" s="952"/>
      <c r="D11" s="953"/>
      <c r="E11" s="957">
        <f>+'1Př1'!F23</f>
        <v>0</v>
      </c>
      <c r="F11" s="958"/>
      <c r="G11" s="959"/>
      <c r="H11" s="963"/>
      <c r="I11" s="964"/>
      <c r="J11" s="965"/>
    </row>
    <row r="12" spans="1:18" ht="15.95" customHeight="1">
      <c r="A12" s="21">
        <v>38</v>
      </c>
      <c r="B12" s="949" t="s">
        <v>233</v>
      </c>
      <c r="C12" s="950"/>
      <c r="D12" s="951"/>
      <c r="E12" s="960">
        <f>+ZAV!C32</f>
        <v>0</v>
      </c>
      <c r="F12" s="961"/>
      <c r="G12" s="962"/>
      <c r="H12" s="963"/>
      <c r="I12" s="964"/>
      <c r="J12" s="965"/>
    </row>
    <row r="13" spans="1:18" ht="24" customHeight="1">
      <c r="A13" s="21">
        <v>39</v>
      </c>
      <c r="B13" s="949" t="s">
        <v>3472</v>
      </c>
      <c r="C13" s="952"/>
      <c r="D13" s="953"/>
      <c r="E13" s="957">
        <f>+'2Př'!G16</f>
        <v>0</v>
      </c>
      <c r="F13" s="958"/>
      <c r="G13" s="959"/>
      <c r="H13" s="963"/>
      <c r="I13" s="964"/>
      <c r="J13" s="965"/>
    </row>
    <row r="14" spans="1:18" ht="24" customHeight="1">
      <c r="A14" s="21">
        <v>40</v>
      </c>
      <c r="B14" s="949" t="s">
        <v>204</v>
      </c>
      <c r="C14" s="950"/>
      <c r="D14" s="951"/>
      <c r="E14" s="957">
        <f>+'2Př'!G35</f>
        <v>0</v>
      </c>
      <c r="F14" s="958"/>
      <c r="G14" s="959"/>
      <c r="H14" s="963"/>
      <c r="I14" s="964"/>
      <c r="J14" s="965"/>
    </row>
    <row r="15" spans="1:18" ht="15.95" customHeight="1">
      <c r="A15" s="21">
        <v>41</v>
      </c>
      <c r="B15" s="949" t="s">
        <v>119</v>
      </c>
      <c r="C15" s="952"/>
      <c r="D15" s="953"/>
      <c r="E15" s="957">
        <f>SUM(E11:E14)</f>
        <v>0</v>
      </c>
      <c r="F15" s="958"/>
      <c r="G15" s="959"/>
      <c r="H15" s="963"/>
      <c r="I15" s="964"/>
      <c r="J15" s="965"/>
    </row>
    <row r="16" spans="1:18" ht="15.95" customHeight="1">
      <c r="A16" s="21">
        <v>42</v>
      </c>
      <c r="B16" s="1024" t="s">
        <v>3840</v>
      </c>
      <c r="C16" s="1025"/>
      <c r="D16" s="1026"/>
      <c r="E16" s="983">
        <f>+E10+MAX(0,E15)</f>
        <v>0</v>
      </c>
      <c r="F16" s="984"/>
      <c r="G16" s="985"/>
      <c r="H16" s="963"/>
      <c r="I16" s="964"/>
      <c r="J16" s="965"/>
    </row>
    <row r="17" spans="1:61" ht="15.75" customHeight="1">
      <c r="A17" s="165">
        <v>43</v>
      </c>
      <c r="B17" s="974" t="s">
        <v>173</v>
      </c>
      <c r="C17" s="975"/>
      <c r="D17" s="976"/>
      <c r="E17" s="983"/>
      <c r="F17" s="984"/>
      <c r="G17" s="985"/>
      <c r="H17" s="963"/>
      <c r="I17" s="964"/>
      <c r="J17" s="965"/>
    </row>
    <row r="18" spans="1:61" ht="24" customHeight="1">
      <c r="A18" s="21">
        <v>44</v>
      </c>
      <c r="B18" s="974" t="s">
        <v>3841</v>
      </c>
      <c r="C18" s="1000"/>
      <c r="D18" s="1001"/>
      <c r="E18" s="960">
        <f>+'6Př'!E20</f>
        <v>0</v>
      </c>
      <c r="F18" s="961"/>
      <c r="G18" s="962"/>
      <c r="H18" s="963"/>
      <c r="I18" s="964"/>
      <c r="J18" s="965"/>
    </row>
    <row r="19" spans="1:61" ht="15.95" customHeight="1" thickBot="1">
      <c r="A19" s="22">
        <v>45</v>
      </c>
      <c r="B19" s="987" t="s">
        <v>3473</v>
      </c>
      <c r="C19" s="988"/>
      <c r="D19" s="989"/>
      <c r="E19" s="1007">
        <f>IF(OR(E16&gt;300000,+E7+'1Př1'!F11+'1Př1'!A27+'2Př'!G10+'2Př'!D28&gt;800000),T("LIMIT"),+E16-E18)</f>
        <v>0</v>
      </c>
      <c r="F19" s="1008"/>
      <c r="G19" s="1009"/>
      <c r="H19" s="980"/>
      <c r="I19" s="981"/>
      <c r="J19" s="982"/>
      <c r="K19" s="771" t="str">
        <f>+IF(EXACT(E19,"LIMIT"),"Neomezenou verzi této šablony zakoupíte zde:"," ")</f>
        <v xml:space="preserve"> </v>
      </c>
      <c r="L19" s="770"/>
      <c r="M19" s="770"/>
      <c r="N19" s="770"/>
      <c r="O19" s="770"/>
    </row>
    <row r="20" spans="1:61" ht="15" customHeight="1" thickBot="1">
      <c r="A20" s="986" t="s">
        <v>54</v>
      </c>
      <c r="B20" s="820"/>
      <c r="C20" s="820"/>
      <c r="D20" s="820"/>
      <c r="E20" s="820"/>
      <c r="F20" s="820"/>
      <c r="G20" s="820"/>
      <c r="H20" s="820"/>
      <c r="I20" s="820"/>
      <c r="J20" s="820"/>
      <c r="K20" s="1075" t="str">
        <f>+IF(EXACT(E19,"LIMIT"),"http://business.center.cz/business/sablony/s3-priznani-k-dani-z-prijmu-fyzickych-osob.aspx"," ")</f>
        <v xml:space="preserve"> </v>
      </c>
      <c r="L20" s="1076"/>
      <c r="M20" s="1076"/>
      <c r="N20" s="1076"/>
      <c r="O20" s="1076"/>
    </row>
    <row r="21" spans="1:61" ht="22.5" customHeight="1">
      <c r="A21" s="1036" t="s">
        <v>94</v>
      </c>
      <c r="B21" s="1037"/>
      <c r="C21" s="1037"/>
      <c r="D21" s="1038"/>
      <c r="E21" s="122" t="s">
        <v>232</v>
      </c>
      <c r="F21" s="990"/>
      <c r="G21" s="991"/>
      <c r="H21" s="122" t="s">
        <v>232</v>
      </c>
      <c r="I21" s="990"/>
      <c r="J21" s="992"/>
      <c r="L21" s="485" t="str">
        <f>+IF(OR(AND(AND(0&lt;F22,F22&lt;E16*0.02),AND(0&lt;F22,F22&lt;1000)),F22&gt;E16*0.3),"CHYBA"," ")</f>
        <v xml:space="preserve"> </v>
      </c>
    </row>
    <row r="22" spans="1:61" ht="15.95" customHeight="1">
      <c r="A22" s="45">
        <v>46</v>
      </c>
      <c r="B22" s="1023" t="s">
        <v>67</v>
      </c>
      <c r="C22" s="1023"/>
      <c r="D22" s="1023"/>
      <c r="E22" s="149"/>
      <c r="F22" s="1032">
        <v>0</v>
      </c>
      <c r="G22" s="962"/>
      <c r="H22" s="136"/>
      <c r="I22" s="1002"/>
      <c r="J22" s="1003"/>
      <c r="L22" s="485" t="str">
        <f>+IF(F23&gt;300000,"CHYBA"," ")</f>
        <v xml:space="preserve"> </v>
      </c>
    </row>
    <row r="23" spans="1:61" ht="15.95" customHeight="1">
      <c r="A23" s="45">
        <v>47</v>
      </c>
      <c r="B23" s="1023" t="s">
        <v>274</v>
      </c>
      <c r="C23" s="1023"/>
      <c r="D23" s="1039"/>
      <c r="E23" s="94"/>
      <c r="F23" s="1032">
        <v>0</v>
      </c>
      <c r="G23" s="962"/>
      <c r="H23" s="136"/>
      <c r="I23" s="1002"/>
      <c r="J23" s="1021"/>
      <c r="L23" s="485" t="str">
        <f>+IF(F24&gt;24000,"CHYBA"," ")</f>
        <v xml:space="preserve"> </v>
      </c>
    </row>
    <row r="24" spans="1:61" ht="24" customHeight="1">
      <c r="A24" s="45">
        <v>48</v>
      </c>
      <c r="B24" s="1047" t="s">
        <v>3474</v>
      </c>
      <c r="C24" s="1047"/>
      <c r="D24" s="1048"/>
      <c r="E24" s="149"/>
      <c r="F24" s="1032">
        <v>0</v>
      </c>
      <c r="G24" s="962"/>
      <c r="H24" s="136"/>
      <c r="I24" s="1002"/>
      <c r="J24" s="1021"/>
      <c r="L24" s="485" t="str">
        <f>+IF(F25&gt;24000,"CHYBA"," ")</f>
        <v xml:space="preserve"> </v>
      </c>
    </row>
    <row r="25" spans="1:61" ht="15.95" customHeight="1">
      <c r="A25" s="45">
        <v>49</v>
      </c>
      <c r="B25" s="1023" t="s">
        <v>3619</v>
      </c>
      <c r="C25" s="1023"/>
      <c r="D25" s="1023"/>
      <c r="E25" s="149"/>
      <c r="F25" s="1032">
        <v>0</v>
      </c>
      <c r="G25" s="962"/>
      <c r="H25" s="136"/>
      <c r="I25" s="1002"/>
      <c r="J25" s="1021"/>
      <c r="L25" s="485" t="str">
        <f>+IF(OR(F26&gt;3000,F26&gt;0.015*E4),"CHYBA"," ")</f>
        <v xml:space="preserve"> </v>
      </c>
    </row>
    <row r="26" spans="1:61" ht="15.95" customHeight="1">
      <c r="A26" s="45">
        <v>50</v>
      </c>
      <c r="B26" s="1023" t="s">
        <v>53</v>
      </c>
      <c r="C26" s="1023"/>
      <c r="D26" s="1023"/>
      <c r="E26" s="149"/>
      <c r="F26" s="1032">
        <v>0</v>
      </c>
      <c r="G26" s="962"/>
      <c r="H26" s="136"/>
      <c r="I26" s="1002"/>
      <c r="J26" s="1021"/>
      <c r="L26" s="485" t="str">
        <f>+IF(F27&gt;10000,"CHYBA"," ")</f>
        <v xml:space="preserve"> </v>
      </c>
    </row>
    <row r="27" spans="1:61" ht="24" customHeight="1">
      <c r="A27" s="45">
        <v>51</v>
      </c>
      <c r="B27" s="1047" t="s">
        <v>3620</v>
      </c>
      <c r="C27" s="1047"/>
      <c r="D27" s="1047"/>
      <c r="E27" s="149"/>
      <c r="F27" s="1032">
        <v>0</v>
      </c>
      <c r="G27" s="962"/>
      <c r="H27" s="136"/>
      <c r="I27" s="1002"/>
      <c r="J27" s="1021"/>
      <c r="L27" s="485"/>
    </row>
    <row r="28" spans="1:61" ht="15.95" customHeight="1">
      <c r="A28" s="45">
        <v>52</v>
      </c>
      <c r="B28" s="1023" t="s">
        <v>3621</v>
      </c>
      <c r="C28" s="1023"/>
      <c r="D28" s="1023"/>
      <c r="E28" s="149"/>
      <c r="F28" s="1032">
        <v>0</v>
      </c>
      <c r="G28" s="962"/>
      <c r="H28" s="136"/>
      <c r="I28" s="1002"/>
      <c r="J28" s="1021"/>
      <c r="L28" s="485"/>
    </row>
    <row r="29" spans="1:61" ht="15.95" customHeight="1" thickBot="1">
      <c r="A29" s="644">
        <v>53</v>
      </c>
      <c r="B29" s="1022" t="s">
        <v>3622</v>
      </c>
      <c r="C29" s="1022"/>
      <c r="D29" s="1022"/>
      <c r="E29" s="149"/>
      <c r="F29" s="1040">
        <v>0</v>
      </c>
      <c r="G29" s="979"/>
      <c r="H29" s="645"/>
      <c r="I29" s="1002"/>
      <c r="J29" s="1021"/>
    </row>
    <row r="30" spans="1:61" ht="6" customHeight="1" thickBot="1">
      <c r="A30" s="1060"/>
      <c r="B30" s="1061"/>
      <c r="C30" s="1061"/>
      <c r="D30" s="1061"/>
      <c r="E30" s="1061"/>
      <c r="F30" s="1061"/>
      <c r="G30" s="1061"/>
      <c r="H30" s="1061"/>
      <c r="I30" s="1061"/>
      <c r="J30" s="1061"/>
    </row>
    <row r="31" spans="1:61" ht="24" customHeight="1">
      <c r="A31" s="123">
        <v>54</v>
      </c>
      <c r="B31" s="1077" t="s">
        <v>3842</v>
      </c>
      <c r="C31" s="1077"/>
      <c r="D31" s="1077"/>
      <c r="E31" s="1078"/>
      <c r="F31" s="1027">
        <f>+SUM('DAP2'!F22:G29)</f>
        <v>0</v>
      </c>
      <c r="G31" s="991"/>
      <c r="H31" s="1004"/>
      <c r="I31" s="1005"/>
      <c r="J31" s="1006"/>
      <c r="BG31" s="78"/>
      <c r="BH31" s="78"/>
      <c r="BI31" s="78"/>
    </row>
    <row r="32" spans="1:61" ht="24" customHeight="1">
      <c r="A32" s="47">
        <v>55</v>
      </c>
      <c r="B32" s="1047" t="s">
        <v>3475</v>
      </c>
      <c r="C32" s="952"/>
      <c r="D32" s="952"/>
      <c r="E32" s="953"/>
      <c r="F32" s="1028">
        <f>MAX(+'DAP2'!E19-'DAP2'!F31,0)</f>
        <v>0</v>
      </c>
      <c r="G32" s="1029"/>
      <c r="H32" s="1002"/>
      <c r="I32" s="930"/>
      <c r="J32" s="1031"/>
      <c r="BG32" s="78"/>
      <c r="BH32" s="78"/>
      <c r="BI32" s="78"/>
    </row>
    <row r="33" spans="1:61" ht="15" customHeight="1">
      <c r="A33" s="45">
        <v>56</v>
      </c>
      <c r="B33" s="1023" t="s">
        <v>3592</v>
      </c>
      <c r="C33" s="1023"/>
      <c r="D33" s="1023"/>
      <c r="E33" s="1039"/>
      <c r="F33" s="1028">
        <f>+FLOOR(F32,100)</f>
        <v>0</v>
      </c>
      <c r="G33" s="1030"/>
      <c r="H33" s="1002"/>
      <c r="I33" s="930"/>
      <c r="J33" s="1031"/>
      <c r="BG33" s="78"/>
      <c r="BH33" s="78"/>
      <c r="BI33" s="78"/>
    </row>
    <row r="34" spans="1:61" ht="15" customHeight="1" thickBot="1">
      <c r="A34" s="46">
        <v>57</v>
      </c>
      <c r="B34" s="1043" t="s">
        <v>120</v>
      </c>
      <c r="C34" s="1043"/>
      <c r="D34" s="1043"/>
      <c r="E34" s="1044"/>
      <c r="F34" s="1045">
        <f>+F33*0.15+MAX(F33-1701168,0)*0.08</f>
        <v>0</v>
      </c>
      <c r="G34" s="1046"/>
      <c r="H34" s="1010"/>
      <c r="I34" s="1011"/>
      <c r="J34" s="1012"/>
      <c r="BG34" s="78"/>
      <c r="BH34" s="78"/>
      <c r="BI34" s="78"/>
    </row>
    <row r="35" spans="1:61" ht="15" customHeight="1" thickBot="1">
      <c r="A35" s="1013" t="s">
        <v>302</v>
      </c>
      <c r="B35" s="1014"/>
      <c r="C35" s="1014"/>
      <c r="D35" s="1014"/>
      <c r="E35" s="1015"/>
      <c r="F35" s="1015"/>
      <c r="G35" s="1016"/>
      <c r="H35" s="1016"/>
      <c r="I35" s="1016"/>
      <c r="J35" s="1016"/>
    </row>
    <row r="36" spans="1:61" ht="24" customHeight="1">
      <c r="A36" s="123">
        <v>58</v>
      </c>
      <c r="B36" s="1017" t="s">
        <v>3476</v>
      </c>
      <c r="C36" s="1017"/>
      <c r="D36" s="1017"/>
      <c r="E36" s="1018"/>
      <c r="F36" s="1019">
        <f>+IF(OR(+'3Př'!F27+'3Př'!F30&gt;0),'3Př'!F30,F34)</f>
        <v>0</v>
      </c>
      <c r="G36" s="1020"/>
      <c r="H36" s="1004"/>
      <c r="I36" s="1005"/>
      <c r="J36" s="1006"/>
      <c r="BG36" s="78"/>
      <c r="BH36" s="78"/>
      <c r="BI36" s="78"/>
    </row>
    <row r="37" spans="1:61" ht="15.95" customHeight="1">
      <c r="A37" s="45">
        <v>59</v>
      </c>
      <c r="B37" s="1041" t="s">
        <v>173</v>
      </c>
      <c r="C37" s="1041"/>
      <c r="D37" s="1041"/>
      <c r="E37" s="1042"/>
      <c r="F37" s="1033">
        <f>+MAX(0,(E4+E11-1672080-FLOOR(E8/1.34,1))*0.07)</f>
        <v>0</v>
      </c>
      <c r="G37" s="1034"/>
      <c r="H37" s="1002"/>
      <c r="I37" s="930"/>
      <c r="J37" s="1031"/>
      <c r="BG37" s="78"/>
      <c r="BH37" s="78"/>
      <c r="BI37" s="78"/>
    </row>
    <row r="38" spans="1:61" ht="15" customHeight="1">
      <c r="A38" s="45">
        <v>60</v>
      </c>
      <c r="B38" s="1041" t="s">
        <v>3843</v>
      </c>
      <c r="C38" s="1041"/>
      <c r="D38" s="1041"/>
      <c r="E38" s="1042"/>
      <c r="F38" s="1049">
        <f>+IF(F34=F36,CEILING(F36,1),CEILING(F36,1))</f>
        <v>0</v>
      </c>
      <c r="G38" s="1050"/>
      <c r="H38" s="1002"/>
      <c r="I38" s="930"/>
      <c r="J38" s="1031"/>
      <c r="BG38" s="78"/>
      <c r="BH38" s="78"/>
      <c r="BI38" s="78"/>
    </row>
    <row r="39" spans="1:61" ht="24" customHeight="1" thickBot="1">
      <c r="A39" s="646">
        <v>61</v>
      </c>
      <c r="B39" s="1073" t="s">
        <v>58</v>
      </c>
      <c r="C39" s="1073"/>
      <c r="D39" s="1073"/>
      <c r="E39" s="1074"/>
      <c r="F39" s="1068">
        <f>IF('DAP2'!E15&lt;0,-'DAP2'!E15,0)</f>
        <v>0</v>
      </c>
      <c r="G39" s="1069"/>
      <c r="H39" s="1070"/>
      <c r="I39" s="1071"/>
      <c r="J39" s="1072"/>
      <c r="BG39" s="78"/>
      <c r="BH39" s="78"/>
      <c r="BI39" s="78"/>
    </row>
    <row r="40" spans="1:61" ht="15" customHeight="1" thickBot="1">
      <c r="A40" s="1065" t="s">
        <v>321</v>
      </c>
      <c r="B40" s="1066"/>
      <c r="C40" s="1066"/>
      <c r="D40" s="1066"/>
      <c r="E40" s="1066"/>
      <c r="F40" s="1066"/>
      <c r="G40" s="1016"/>
      <c r="H40" s="1016"/>
      <c r="I40" s="1016"/>
      <c r="J40" s="1016"/>
    </row>
    <row r="41" spans="1:61" ht="15.95" customHeight="1">
      <c r="A41" s="123">
        <v>62</v>
      </c>
      <c r="B41" s="1017" t="s">
        <v>205</v>
      </c>
      <c r="C41" s="1017"/>
      <c r="D41" s="1017"/>
      <c r="E41" s="1018"/>
      <c r="F41" s="1067">
        <v>0</v>
      </c>
      <c r="G41" s="991"/>
      <c r="H41" s="1004"/>
      <c r="I41" s="1005"/>
      <c r="J41" s="1006"/>
    </row>
    <row r="42" spans="1:61" ht="15.95" customHeight="1" thickBot="1">
      <c r="A42" s="45">
        <v>63</v>
      </c>
      <c r="B42" s="1047" t="s">
        <v>209</v>
      </c>
      <c r="C42" s="1047"/>
      <c r="D42" s="1047"/>
      <c r="E42" s="1048"/>
      <c r="F42" s="1032">
        <v>0</v>
      </c>
      <c r="G42" s="1029"/>
      <c r="H42" s="1002"/>
      <c r="I42" s="930"/>
      <c r="J42" s="1031"/>
    </row>
    <row r="43" spans="1:61" s="639" customFormat="1" ht="24" customHeight="1" thickBot="1">
      <c r="A43" s="1051" t="s">
        <v>3477</v>
      </c>
      <c r="B43" s="1052"/>
      <c r="C43" s="1052"/>
      <c r="D43" s="1052"/>
      <c r="E43" s="1052"/>
      <c r="F43" s="1052"/>
      <c r="G43" s="1052"/>
      <c r="H43" s="1052"/>
      <c r="I43" s="1052"/>
      <c r="J43" s="1052"/>
      <c r="K43" s="640"/>
      <c r="L43" s="640"/>
      <c r="M43" s="640"/>
      <c r="N43" s="640"/>
      <c r="O43" s="640"/>
      <c r="P43" s="640"/>
      <c r="Q43" s="640"/>
      <c r="R43" s="640"/>
      <c r="S43" s="640"/>
      <c r="T43" s="640"/>
      <c r="U43" s="640"/>
      <c r="V43" s="640"/>
      <c r="W43" s="640"/>
      <c r="X43" s="640"/>
      <c r="Y43" s="640"/>
      <c r="Z43" s="640"/>
      <c r="AA43" s="640"/>
      <c r="AB43" s="640"/>
      <c r="AC43" s="640"/>
      <c r="AD43" s="640"/>
      <c r="AE43" s="640"/>
      <c r="AF43" s="640"/>
      <c r="AG43" s="640"/>
      <c r="AH43" s="640"/>
      <c r="AI43" s="640"/>
      <c r="AJ43" s="640"/>
      <c r="AK43" s="640"/>
      <c r="AL43" s="640"/>
      <c r="AM43" s="640"/>
      <c r="AN43" s="640"/>
      <c r="AO43" s="640"/>
      <c r="AP43" s="640"/>
      <c r="AQ43" s="640"/>
      <c r="AR43" s="640"/>
      <c r="AS43" s="640"/>
      <c r="AT43" s="640"/>
      <c r="AU43" s="640"/>
      <c r="AV43" s="640"/>
      <c r="AW43" s="640"/>
      <c r="AX43" s="640"/>
      <c r="AY43" s="640"/>
      <c r="AZ43" s="640"/>
      <c r="BA43" s="640"/>
      <c r="BB43" s="640"/>
      <c r="BC43" s="640"/>
      <c r="BD43" s="640"/>
      <c r="BE43" s="640"/>
      <c r="BF43" s="640"/>
    </row>
    <row r="44" spans="1:61" s="639" customFormat="1" ht="24" customHeight="1" thickBot="1">
      <c r="A44" s="1053" t="s">
        <v>32</v>
      </c>
      <c r="B44" s="1054"/>
      <c r="C44" s="1055"/>
      <c r="D44" s="1056"/>
      <c r="E44" s="1057"/>
      <c r="F44" s="1058" t="s">
        <v>148</v>
      </c>
      <c r="G44" s="1059"/>
      <c r="H44" s="1062"/>
      <c r="I44" s="1063"/>
      <c r="J44" s="1064"/>
      <c r="K44" s="640"/>
      <c r="L44" s="640"/>
      <c r="M44" s="640"/>
      <c r="N44" s="640"/>
      <c r="O44" s="640"/>
      <c r="P44" s="640"/>
      <c r="Q44" s="640"/>
      <c r="R44" s="640"/>
      <c r="S44" s="640"/>
      <c r="T44" s="640"/>
      <c r="U44" s="640"/>
      <c r="V44" s="640"/>
      <c r="W44" s="640"/>
      <c r="X44" s="640"/>
      <c r="Y44" s="640"/>
      <c r="Z44" s="640"/>
      <c r="AA44" s="640"/>
      <c r="AB44" s="640"/>
      <c r="AC44" s="640"/>
      <c r="AD44" s="640"/>
      <c r="AE44" s="640"/>
      <c r="AF44" s="640"/>
      <c r="AG44" s="640"/>
      <c r="AH44" s="640"/>
      <c r="AI44" s="640"/>
      <c r="AJ44" s="640"/>
      <c r="AK44" s="640"/>
      <c r="AL44" s="640"/>
      <c r="AM44" s="640"/>
      <c r="AN44" s="640"/>
      <c r="AO44" s="640"/>
      <c r="AP44" s="640"/>
      <c r="AQ44" s="640"/>
      <c r="AR44" s="640"/>
      <c r="AS44" s="640"/>
      <c r="AT44" s="640"/>
      <c r="AU44" s="640"/>
      <c r="AV44" s="640"/>
      <c r="AW44" s="640"/>
      <c r="AX44" s="640"/>
      <c r="AY44" s="640"/>
      <c r="AZ44" s="640"/>
      <c r="BA44" s="640"/>
      <c r="BB44" s="640"/>
      <c r="BC44" s="640"/>
      <c r="BD44" s="640"/>
      <c r="BE44" s="640"/>
      <c r="BF44" s="640"/>
    </row>
    <row r="45" spans="1:61" ht="12" customHeight="1">
      <c r="A45" s="1035">
        <v>2</v>
      </c>
      <c r="B45" s="1035"/>
      <c r="C45" s="1035"/>
      <c r="D45" s="1035"/>
      <c r="E45" s="1035"/>
      <c r="F45" s="1035"/>
      <c r="G45" s="1035"/>
      <c r="H45" s="1035"/>
      <c r="I45" s="1035"/>
      <c r="J45" s="1035"/>
    </row>
    <row r="46" spans="1:61">
      <c r="A46" s="78"/>
      <c r="B46" s="78"/>
      <c r="C46" s="78"/>
      <c r="D46" s="78"/>
      <c r="E46" s="78"/>
      <c r="F46" s="78"/>
      <c r="G46" s="78"/>
      <c r="H46" s="78"/>
      <c r="I46" s="78"/>
      <c r="J46" s="78"/>
    </row>
    <row r="47" spans="1:61">
      <c r="A47" s="78"/>
      <c r="B47" s="78"/>
      <c r="C47" s="78"/>
      <c r="D47" s="78"/>
      <c r="E47" s="78"/>
      <c r="F47" s="78"/>
      <c r="G47" s="78"/>
      <c r="H47" s="78"/>
      <c r="I47" s="78"/>
      <c r="J47" s="78"/>
    </row>
    <row r="48" spans="1:61">
      <c r="A48" s="78"/>
      <c r="B48" s="78"/>
      <c r="C48" s="78"/>
      <c r="D48" s="78"/>
      <c r="E48" s="78"/>
      <c r="F48" s="78"/>
      <c r="G48" s="78"/>
      <c r="H48" s="78"/>
      <c r="I48" s="78"/>
      <c r="J48" s="78"/>
    </row>
    <row r="49" spans="1:10">
      <c r="A49" s="78"/>
      <c r="B49" s="78"/>
      <c r="C49" s="78"/>
      <c r="D49" s="78"/>
      <c r="E49" s="78"/>
      <c r="F49" s="78"/>
      <c r="G49" s="78"/>
      <c r="H49" s="78"/>
      <c r="I49" s="78"/>
      <c r="J49" s="78"/>
    </row>
    <row r="50" spans="1:10">
      <c r="A50" s="78"/>
      <c r="B50" s="78"/>
      <c r="C50" s="78"/>
      <c r="D50" s="78"/>
      <c r="E50" s="78"/>
      <c r="F50" s="78"/>
      <c r="G50" s="78"/>
      <c r="H50" s="78"/>
      <c r="I50" s="78"/>
      <c r="J50" s="78"/>
    </row>
    <row r="51" spans="1:10">
      <c r="A51" s="78"/>
      <c r="B51" s="78"/>
      <c r="C51" s="78"/>
      <c r="D51" s="78"/>
      <c r="E51" s="78"/>
      <c r="F51" s="78"/>
      <c r="G51" s="78"/>
      <c r="H51" s="78"/>
      <c r="I51" s="78"/>
      <c r="J51" s="78"/>
    </row>
    <row r="52" spans="1:10">
      <c r="A52" s="78"/>
      <c r="B52" s="78"/>
      <c r="C52" s="78"/>
      <c r="D52" s="78"/>
      <c r="E52" s="78"/>
      <c r="F52" s="78"/>
      <c r="G52" s="78"/>
      <c r="H52" s="78"/>
      <c r="I52" s="78"/>
      <c r="J52" s="78"/>
    </row>
    <row r="53" spans="1:10">
      <c r="A53" s="78"/>
      <c r="B53" s="78"/>
      <c r="C53" s="78"/>
      <c r="D53" s="78"/>
      <c r="E53" s="78"/>
      <c r="F53" s="78"/>
      <c r="G53" s="78"/>
      <c r="H53" s="78"/>
      <c r="I53" s="78"/>
      <c r="J53" s="78"/>
    </row>
    <row r="54" spans="1:10">
      <c r="A54" s="78"/>
      <c r="B54" s="78"/>
      <c r="C54" s="78"/>
      <c r="D54" s="78"/>
      <c r="E54" s="78"/>
      <c r="F54" s="78"/>
      <c r="G54" s="78"/>
      <c r="H54" s="78"/>
      <c r="I54" s="78"/>
      <c r="J54" s="78"/>
    </row>
    <row r="55" spans="1:10">
      <c r="A55" s="78"/>
      <c r="B55" s="78"/>
      <c r="C55" s="78"/>
      <c r="D55" s="78"/>
      <c r="E55" s="78"/>
      <c r="F55" s="78"/>
      <c r="G55" s="78"/>
      <c r="H55" s="78"/>
      <c r="I55" s="78"/>
      <c r="J55" s="78"/>
    </row>
    <row r="56" spans="1:10">
      <c r="A56" s="78"/>
      <c r="B56" s="78"/>
      <c r="C56" s="78"/>
      <c r="D56" s="78"/>
      <c r="E56" s="78"/>
      <c r="F56" s="78"/>
      <c r="G56" s="78"/>
      <c r="H56" s="78"/>
      <c r="I56" s="78"/>
      <c r="J56" s="78"/>
    </row>
    <row r="57" spans="1:10">
      <c r="A57" s="78"/>
      <c r="B57" s="78"/>
      <c r="C57" s="78"/>
      <c r="D57" s="78"/>
      <c r="E57" s="78"/>
      <c r="F57" s="78"/>
      <c r="G57" s="78"/>
      <c r="H57" s="78"/>
      <c r="I57" s="78"/>
      <c r="J57" s="78"/>
    </row>
    <row r="58" spans="1:10">
      <c r="A58" s="78"/>
      <c r="B58" s="78"/>
      <c r="C58" s="78"/>
      <c r="D58" s="78"/>
      <c r="E58" s="78"/>
      <c r="F58" s="78"/>
      <c r="G58" s="78"/>
      <c r="H58" s="78"/>
      <c r="I58" s="78"/>
      <c r="J58" s="78"/>
    </row>
    <row r="59" spans="1:10">
      <c r="A59" s="78"/>
      <c r="B59" s="78"/>
      <c r="C59" s="78"/>
      <c r="D59" s="78"/>
      <c r="E59" s="78"/>
      <c r="F59" s="78"/>
      <c r="G59" s="78"/>
      <c r="H59" s="78"/>
      <c r="I59" s="78"/>
      <c r="J59" s="78"/>
    </row>
    <row r="60" spans="1:10">
      <c r="A60" s="78"/>
      <c r="B60" s="78"/>
      <c r="C60" s="78"/>
      <c r="D60" s="78"/>
      <c r="E60" s="78"/>
      <c r="F60" s="78"/>
      <c r="G60" s="78"/>
      <c r="H60" s="78"/>
      <c r="I60" s="78"/>
      <c r="J60" s="78"/>
    </row>
    <row r="61" spans="1:10">
      <c r="A61" s="78"/>
      <c r="B61" s="78"/>
      <c r="C61" s="78"/>
      <c r="D61" s="78"/>
      <c r="E61" s="78"/>
      <c r="F61" s="78"/>
      <c r="G61" s="78"/>
      <c r="H61" s="78"/>
      <c r="I61" s="78"/>
      <c r="J61" s="78"/>
    </row>
    <row r="62" spans="1:10">
      <c r="A62" s="78"/>
      <c r="B62" s="78"/>
      <c r="C62" s="78"/>
      <c r="D62" s="78"/>
      <c r="E62" s="78"/>
      <c r="F62" s="78"/>
      <c r="G62" s="78"/>
      <c r="H62" s="78"/>
      <c r="I62" s="78"/>
      <c r="J62" s="78"/>
    </row>
    <row r="63" spans="1:10">
      <c r="A63" s="78"/>
      <c r="B63" s="78"/>
      <c r="C63" s="78"/>
      <c r="D63" s="78"/>
      <c r="E63" s="78"/>
      <c r="F63" s="78"/>
      <c r="G63" s="78"/>
      <c r="H63" s="78"/>
      <c r="I63" s="78"/>
      <c r="J63" s="78"/>
    </row>
    <row r="64" spans="1:10">
      <c r="A64" s="78"/>
      <c r="B64" s="78"/>
      <c r="C64" s="78"/>
      <c r="D64" s="78"/>
      <c r="E64" s="78"/>
      <c r="F64" s="78"/>
      <c r="G64" s="78"/>
      <c r="H64" s="78"/>
      <c r="I64" s="78"/>
      <c r="J64" s="78"/>
    </row>
    <row r="65" spans="1:10">
      <c r="A65" s="78"/>
      <c r="B65" s="78"/>
      <c r="C65" s="78"/>
      <c r="D65" s="78"/>
      <c r="E65" s="78"/>
      <c r="F65" s="78"/>
      <c r="G65" s="78"/>
      <c r="H65" s="78"/>
      <c r="I65" s="78"/>
      <c r="J65" s="78"/>
    </row>
    <row r="66" spans="1:10">
      <c r="A66" s="78"/>
      <c r="B66" s="78"/>
      <c r="C66" s="78"/>
      <c r="D66" s="78"/>
      <c r="E66" s="78"/>
      <c r="F66" s="78"/>
      <c r="G66" s="78"/>
      <c r="H66" s="78"/>
      <c r="I66" s="78"/>
      <c r="J66" s="78"/>
    </row>
    <row r="67" spans="1:10">
      <c r="A67" s="78"/>
      <c r="B67" s="78"/>
      <c r="C67" s="78"/>
      <c r="D67" s="78"/>
      <c r="E67" s="78"/>
      <c r="F67" s="78"/>
      <c r="G67" s="78"/>
      <c r="H67" s="78"/>
      <c r="I67" s="78"/>
      <c r="J67" s="78"/>
    </row>
    <row r="68" spans="1:10">
      <c r="A68" s="78"/>
      <c r="B68" s="78"/>
      <c r="C68" s="78"/>
      <c r="D68" s="78"/>
      <c r="E68" s="78"/>
      <c r="F68" s="78"/>
      <c r="G68" s="78"/>
      <c r="H68" s="78"/>
      <c r="I68" s="78"/>
      <c r="J68" s="78"/>
    </row>
    <row r="69" spans="1:10">
      <c r="A69" s="78"/>
      <c r="B69" s="78"/>
      <c r="C69" s="78"/>
      <c r="D69" s="78"/>
      <c r="E69" s="78"/>
      <c r="F69" s="78"/>
      <c r="G69" s="78"/>
      <c r="H69" s="78"/>
      <c r="I69" s="78"/>
      <c r="J69" s="78"/>
    </row>
    <row r="70" spans="1:10">
      <c r="A70" s="78"/>
      <c r="B70" s="78"/>
      <c r="C70" s="78"/>
      <c r="D70" s="78"/>
      <c r="E70" s="78"/>
      <c r="F70" s="78"/>
      <c r="G70" s="78"/>
      <c r="H70" s="78"/>
      <c r="I70" s="78"/>
      <c r="J70" s="78"/>
    </row>
    <row r="71" spans="1:10">
      <c r="A71" s="78"/>
      <c r="B71" s="78"/>
      <c r="C71" s="78"/>
      <c r="D71" s="78"/>
      <c r="E71" s="78"/>
      <c r="F71" s="78"/>
      <c r="G71" s="78"/>
      <c r="H71" s="78"/>
      <c r="I71" s="78"/>
      <c r="J71" s="78"/>
    </row>
    <row r="72" spans="1:10">
      <c r="A72" s="78"/>
      <c r="B72" s="78"/>
      <c r="C72" s="78"/>
      <c r="D72" s="78"/>
      <c r="E72" s="78"/>
      <c r="F72" s="78"/>
      <c r="G72" s="78"/>
      <c r="H72" s="78"/>
      <c r="I72" s="78"/>
      <c r="J72" s="78"/>
    </row>
    <row r="73" spans="1:10">
      <c r="A73" s="78"/>
      <c r="B73" s="78"/>
      <c r="C73" s="78"/>
      <c r="D73" s="78"/>
      <c r="E73" s="78"/>
      <c r="F73" s="78"/>
      <c r="G73" s="78"/>
      <c r="H73" s="78"/>
      <c r="I73" s="78"/>
      <c r="J73" s="78"/>
    </row>
    <row r="74" spans="1:10">
      <c r="A74" s="78"/>
      <c r="B74" s="78"/>
      <c r="C74" s="78"/>
      <c r="D74" s="78"/>
      <c r="E74" s="78"/>
      <c r="F74" s="78"/>
      <c r="G74" s="78"/>
      <c r="H74" s="78"/>
      <c r="I74" s="78"/>
      <c r="J74" s="78"/>
    </row>
    <row r="75" spans="1:10">
      <c r="A75" s="78"/>
      <c r="B75" s="78"/>
      <c r="C75" s="78"/>
      <c r="D75" s="78"/>
      <c r="E75" s="78"/>
      <c r="F75" s="78"/>
      <c r="G75" s="78"/>
      <c r="H75" s="78"/>
      <c r="I75" s="78"/>
      <c r="J75" s="78"/>
    </row>
    <row r="76" spans="1:10">
      <c r="A76" s="78"/>
      <c r="B76" s="78"/>
      <c r="C76" s="78"/>
      <c r="D76" s="78"/>
      <c r="E76" s="78"/>
      <c r="F76" s="78"/>
      <c r="G76" s="78"/>
      <c r="H76" s="78"/>
      <c r="I76" s="78"/>
      <c r="J76" s="78"/>
    </row>
    <row r="77" spans="1:10">
      <c r="A77" s="78"/>
      <c r="B77" s="78"/>
      <c r="C77" s="78"/>
      <c r="D77" s="78"/>
      <c r="E77" s="78"/>
      <c r="F77" s="78"/>
      <c r="G77" s="78"/>
      <c r="H77" s="78"/>
      <c r="I77" s="78"/>
      <c r="J77" s="78"/>
    </row>
    <row r="78" spans="1:10">
      <c r="A78" s="78"/>
      <c r="B78" s="78"/>
      <c r="C78" s="78"/>
      <c r="D78" s="78"/>
      <c r="E78" s="78"/>
      <c r="F78" s="78"/>
      <c r="G78" s="78"/>
      <c r="H78" s="78"/>
      <c r="I78" s="78"/>
      <c r="J78" s="78"/>
    </row>
    <row r="79" spans="1:10">
      <c r="A79" s="78"/>
      <c r="B79" s="78"/>
      <c r="C79" s="78"/>
      <c r="D79" s="78"/>
      <c r="E79" s="78"/>
      <c r="F79" s="78"/>
      <c r="G79" s="78"/>
      <c r="H79" s="78"/>
      <c r="I79" s="78"/>
      <c r="J79" s="78"/>
    </row>
    <row r="80" spans="1:10">
      <c r="A80" s="78"/>
      <c r="B80" s="78"/>
      <c r="C80" s="78"/>
      <c r="D80" s="78"/>
      <c r="E80" s="78"/>
      <c r="F80" s="78"/>
      <c r="G80" s="78"/>
      <c r="H80" s="78"/>
      <c r="I80" s="78"/>
      <c r="J80" s="78"/>
    </row>
    <row r="81" spans="1:10">
      <c r="A81" s="78"/>
      <c r="B81" s="78"/>
      <c r="C81" s="78"/>
      <c r="D81" s="78"/>
      <c r="E81" s="78"/>
      <c r="F81" s="78"/>
      <c r="G81" s="78"/>
      <c r="H81" s="78"/>
      <c r="I81" s="78"/>
      <c r="J81" s="78"/>
    </row>
    <row r="82" spans="1:10">
      <c r="A82" s="78"/>
      <c r="B82" s="78"/>
      <c r="C82" s="78"/>
      <c r="D82" s="78"/>
      <c r="E82" s="78"/>
      <c r="F82" s="78"/>
      <c r="G82" s="78"/>
      <c r="H82" s="78"/>
      <c r="I82" s="78"/>
      <c r="J82" s="78"/>
    </row>
    <row r="83" spans="1:10">
      <c r="A83" s="78"/>
      <c r="B83" s="78"/>
      <c r="C83" s="78"/>
      <c r="D83" s="78"/>
      <c r="E83" s="78"/>
      <c r="F83" s="78"/>
      <c r="G83" s="78"/>
      <c r="H83" s="78"/>
      <c r="I83" s="78"/>
      <c r="J83" s="78"/>
    </row>
    <row r="84" spans="1:10">
      <c r="A84" s="78"/>
      <c r="B84" s="78"/>
      <c r="C84" s="78"/>
      <c r="D84" s="78"/>
      <c r="E84" s="78"/>
      <c r="F84" s="78"/>
      <c r="G84" s="78"/>
      <c r="H84" s="78"/>
      <c r="I84" s="78"/>
      <c r="J84" s="78"/>
    </row>
    <row r="85" spans="1:10">
      <c r="A85" s="78"/>
      <c r="B85" s="78"/>
      <c r="C85" s="78"/>
      <c r="D85" s="78"/>
      <c r="E85" s="78"/>
      <c r="F85" s="78"/>
      <c r="G85" s="78"/>
      <c r="H85" s="78"/>
      <c r="I85" s="78"/>
      <c r="J85" s="78"/>
    </row>
    <row r="86" spans="1:10">
      <c r="A86" s="78"/>
      <c r="B86" s="78"/>
      <c r="C86" s="78"/>
      <c r="D86" s="78"/>
      <c r="E86" s="78"/>
      <c r="F86" s="78"/>
      <c r="G86" s="78"/>
      <c r="H86" s="78"/>
      <c r="I86" s="78"/>
      <c r="J86" s="78"/>
    </row>
    <row r="87" spans="1:10">
      <c r="A87" s="78"/>
      <c r="B87" s="78"/>
      <c r="C87" s="78"/>
      <c r="D87" s="78"/>
      <c r="E87" s="78"/>
      <c r="F87" s="78"/>
      <c r="G87" s="78"/>
      <c r="H87" s="78"/>
      <c r="I87" s="78"/>
      <c r="J87" s="78"/>
    </row>
    <row r="88" spans="1:10">
      <c r="A88" s="78"/>
      <c r="B88" s="78"/>
      <c r="C88" s="78"/>
      <c r="D88" s="78"/>
      <c r="E88" s="78"/>
      <c r="F88" s="78"/>
      <c r="G88" s="78"/>
      <c r="H88" s="78"/>
      <c r="I88" s="78"/>
      <c r="J88" s="78"/>
    </row>
    <row r="89" spans="1:10">
      <c r="A89" s="78"/>
      <c r="B89" s="78"/>
      <c r="C89" s="78"/>
      <c r="D89" s="78"/>
      <c r="E89" s="78"/>
      <c r="F89" s="78"/>
      <c r="G89" s="78"/>
      <c r="H89" s="78"/>
      <c r="I89" s="78"/>
      <c r="J89" s="78"/>
    </row>
    <row r="90" spans="1:10">
      <c r="A90" s="78"/>
      <c r="B90" s="78"/>
      <c r="C90" s="78"/>
      <c r="D90" s="78"/>
      <c r="E90" s="78"/>
      <c r="F90" s="78"/>
      <c r="G90" s="78"/>
      <c r="H90" s="78"/>
      <c r="I90" s="78"/>
      <c r="J90" s="78"/>
    </row>
    <row r="91" spans="1:10">
      <c r="A91" s="78"/>
      <c r="B91" s="78"/>
      <c r="C91" s="78"/>
      <c r="D91" s="78"/>
      <c r="E91" s="78"/>
      <c r="F91" s="78"/>
      <c r="G91" s="78"/>
      <c r="H91" s="78"/>
      <c r="I91" s="78"/>
      <c r="J91" s="78"/>
    </row>
    <row r="92" spans="1:10">
      <c r="A92" s="78"/>
      <c r="B92" s="78"/>
      <c r="C92" s="78"/>
      <c r="D92" s="78"/>
      <c r="E92" s="78"/>
      <c r="F92" s="78"/>
      <c r="G92" s="78"/>
      <c r="H92" s="78"/>
      <c r="I92" s="78"/>
      <c r="J92" s="78"/>
    </row>
    <row r="93" spans="1:10">
      <c r="A93" s="78"/>
      <c r="B93" s="78"/>
      <c r="C93" s="78"/>
      <c r="D93" s="78"/>
      <c r="E93" s="78"/>
      <c r="F93" s="78"/>
      <c r="G93" s="78"/>
      <c r="H93" s="78"/>
      <c r="I93" s="78"/>
      <c r="J93" s="78"/>
    </row>
    <row r="94" spans="1:10">
      <c r="A94" s="78"/>
      <c r="B94" s="78"/>
      <c r="C94" s="78"/>
      <c r="D94" s="78"/>
      <c r="E94" s="78"/>
      <c r="F94" s="78"/>
      <c r="G94" s="78"/>
      <c r="H94" s="78"/>
      <c r="I94" s="78"/>
      <c r="J94" s="78"/>
    </row>
    <row r="95" spans="1:10">
      <c r="A95" s="78"/>
      <c r="B95" s="78"/>
      <c r="C95" s="78"/>
      <c r="D95" s="78"/>
      <c r="E95" s="78"/>
      <c r="F95" s="78"/>
      <c r="G95" s="78"/>
      <c r="H95" s="78"/>
      <c r="I95" s="78"/>
      <c r="J95" s="78"/>
    </row>
    <row r="96" spans="1:10" s="78" customFormat="1"/>
    <row r="97" s="78" customFormat="1"/>
    <row r="98" s="78" customFormat="1"/>
    <row r="99" s="78" customFormat="1"/>
    <row r="100" s="78" customFormat="1"/>
    <row r="101" s="78" customFormat="1"/>
    <row r="102" s="78" customFormat="1"/>
    <row r="103" s="78" customFormat="1"/>
    <row r="104" s="78" customFormat="1"/>
    <row r="105" s="78" customFormat="1"/>
    <row r="106" s="78" customFormat="1"/>
    <row r="107" s="78" customFormat="1"/>
    <row r="108" s="78" customFormat="1"/>
    <row r="109" s="78" customFormat="1"/>
    <row r="110" s="78" customFormat="1"/>
    <row r="111" s="78" customFormat="1"/>
    <row r="112" s="78" customFormat="1"/>
    <row r="113" s="78" customFormat="1"/>
    <row r="114" s="78" customFormat="1"/>
    <row r="115" s="78" customFormat="1"/>
    <row r="116" s="78" customFormat="1"/>
    <row r="117" s="78" customFormat="1"/>
    <row r="118" s="78" customFormat="1"/>
    <row r="119" s="78" customFormat="1"/>
    <row r="120" s="78" customFormat="1"/>
    <row r="121" s="78" customFormat="1"/>
    <row r="122" s="78" customFormat="1"/>
    <row r="123" s="78" customFormat="1"/>
    <row r="124" s="78" customFormat="1"/>
    <row r="125" s="78" customFormat="1"/>
    <row r="126" s="78" customFormat="1"/>
    <row r="127" s="78" customFormat="1"/>
    <row r="128" s="78" customFormat="1"/>
    <row r="129" s="78" customFormat="1"/>
    <row r="130" s="78" customFormat="1"/>
    <row r="131" s="78" customFormat="1"/>
    <row r="132" s="78" customFormat="1"/>
    <row r="133" s="78" customFormat="1"/>
    <row r="134" s="78" customFormat="1"/>
    <row r="135" s="78" customFormat="1"/>
    <row r="136" s="78" customFormat="1"/>
    <row r="137" s="78" customFormat="1"/>
    <row r="138" s="78" customFormat="1"/>
    <row r="139" s="78" customFormat="1"/>
    <row r="140" s="78" customFormat="1"/>
    <row r="141" s="78" customFormat="1"/>
    <row r="142" s="78" customFormat="1"/>
    <row r="143" s="78" customFormat="1"/>
    <row r="144" s="78" customFormat="1"/>
    <row r="145" s="78" customFormat="1"/>
    <row r="146" s="78" customFormat="1"/>
    <row r="147" s="78" customFormat="1"/>
    <row r="148" s="78" customFormat="1"/>
    <row r="149" s="78" customFormat="1"/>
    <row r="150" s="78" customFormat="1"/>
    <row r="151" s="78" customFormat="1"/>
    <row r="152" s="78" customFormat="1"/>
    <row r="153" s="78" customFormat="1"/>
  </sheetData>
  <sheetProtection algorithmName="SHA-512" hashValue="ttQS3DL5Weywv6M6Nca8ae+XrWK45H4wQZndArwtw789ChtYe96sNqgnjAD+Ws8R43FEbOz4JNv/dpov0bNK8g==" saltValue="Io+jLAEl+gOM8J3YUjSMBw==" spinCount="100000" sheet="1" objects="1" scenarios="1"/>
  <mergeCells count="119">
    <mergeCell ref="K20:O20"/>
    <mergeCell ref="H33:J33"/>
    <mergeCell ref="I26:J26"/>
    <mergeCell ref="B24:D24"/>
    <mergeCell ref="B25:D25"/>
    <mergeCell ref="B26:D26"/>
    <mergeCell ref="F28:G28"/>
    <mergeCell ref="B27:D27"/>
    <mergeCell ref="H18:J18"/>
    <mergeCell ref="B31:E31"/>
    <mergeCell ref="B32:E32"/>
    <mergeCell ref="B33:E33"/>
    <mergeCell ref="H44:J44"/>
    <mergeCell ref="H42:J42"/>
    <mergeCell ref="A40:J40"/>
    <mergeCell ref="B41:E41"/>
    <mergeCell ref="F41:G41"/>
    <mergeCell ref="H41:J41"/>
    <mergeCell ref="F39:G39"/>
    <mergeCell ref="H38:J38"/>
    <mergeCell ref="H39:J39"/>
    <mergeCell ref="B38:E38"/>
    <mergeCell ref="B39:E39"/>
    <mergeCell ref="H37:J37"/>
    <mergeCell ref="F37:G37"/>
    <mergeCell ref="B22:D22"/>
    <mergeCell ref="A45:J45"/>
    <mergeCell ref="A21:D21"/>
    <mergeCell ref="B23:D23"/>
    <mergeCell ref="F23:G23"/>
    <mergeCell ref="F24:G24"/>
    <mergeCell ref="F25:G25"/>
    <mergeCell ref="F29:G29"/>
    <mergeCell ref="B37:E37"/>
    <mergeCell ref="B34:E34"/>
    <mergeCell ref="F34:G34"/>
    <mergeCell ref="B42:E42"/>
    <mergeCell ref="F42:G42"/>
    <mergeCell ref="H36:J36"/>
    <mergeCell ref="F38:G38"/>
    <mergeCell ref="A43:J43"/>
    <mergeCell ref="A44:B44"/>
    <mergeCell ref="C44:E44"/>
    <mergeCell ref="F44:G44"/>
    <mergeCell ref="F26:G26"/>
    <mergeCell ref="F27:G27"/>
    <mergeCell ref="A30:J30"/>
    <mergeCell ref="E16:G16"/>
    <mergeCell ref="B18:D18"/>
    <mergeCell ref="H16:J16"/>
    <mergeCell ref="I22:J22"/>
    <mergeCell ref="H31:J31"/>
    <mergeCell ref="E19:G19"/>
    <mergeCell ref="H34:J34"/>
    <mergeCell ref="A35:J35"/>
    <mergeCell ref="B36:E36"/>
    <mergeCell ref="F36:G36"/>
    <mergeCell ref="I27:J27"/>
    <mergeCell ref="I28:J28"/>
    <mergeCell ref="I29:J29"/>
    <mergeCell ref="I24:J24"/>
    <mergeCell ref="I25:J25"/>
    <mergeCell ref="B29:D29"/>
    <mergeCell ref="B28:D28"/>
    <mergeCell ref="B16:D16"/>
    <mergeCell ref="F31:G31"/>
    <mergeCell ref="F32:G32"/>
    <mergeCell ref="F33:G33"/>
    <mergeCell ref="H32:J32"/>
    <mergeCell ref="I23:J23"/>
    <mergeCell ref="F22:G22"/>
    <mergeCell ref="E12:G12"/>
    <mergeCell ref="E15:G15"/>
    <mergeCell ref="E10:G10"/>
    <mergeCell ref="B8:D8"/>
    <mergeCell ref="E6:G6"/>
    <mergeCell ref="H6:J6"/>
    <mergeCell ref="B7:D7"/>
    <mergeCell ref="E7:G7"/>
    <mergeCell ref="H7:J7"/>
    <mergeCell ref="H11:J11"/>
    <mergeCell ref="H10:J10"/>
    <mergeCell ref="A9:J9"/>
    <mergeCell ref="H13:J13"/>
    <mergeCell ref="E11:G11"/>
    <mergeCell ref="B12:D12"/>
    <mergeCell ref="H17:J17"/>
    <mergeCell ref="E17:G17"/>
    <mergeCell ref="A20:J20"/>
    <mergeCell ref="E18:G18"/>
    <mergeCell ref="B19:D19"/>
    <mergeCell ref="B17:D17"/>
    <mergeCell ref="F21:G21"/>
    <mergeCell ref="I21:J21"/>
    <mergeCell ref="H19:J19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H12:J12"/>
    <mergeCell ref="B5:D5"/>
    <mergeCell ref="E8:G8"/>
    <mergeCell ref="H8:J8"/>
    <mergeCell ref="E5:G5"/>
    <mergeCell ref="H5:J5"/>
    <mergeCell ref="B6:D6"/>
  </mergeCells>
  <phoneticPr fontId="11" type="noConversion"/>
  <hyperlinks>
    <hyperlink ref="K20" r:id="rId1" display="http://business.center.cz/business/sablony/s3-priznani-k-dani-z-prijmu-fyzickych-osob.aspx" xr:uid="{EE83051B-5967-4D58-B6E9-3D09ECC5392E}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2"/>
  <headerFooter alignWithMargins="0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635"/>
  <sheetViews>
    <sheetView topLeftCell="A4" workbookViewId="0">
      <selection activeCell="D30" sqref="D30:G30"/>
    </sheetView>
  </sheetViews>
  <sheetFormatPr defaultRowHeight="12.75"/>
  <cols>
    <col min="1" max="1" width="4.42578125" bestFit="1" customWidth="1"/>
    <col min="2" max="2" width="10" customWidth="1"/>
    <col min="3" max="3" width="36.140625" customWidth="1"/>
    <col min="4" max="11" width="7.7109375" customWidth="1"/>
    <col min="12" max="73" width="9.140625" style="78"/>
  </cols>
  <sheetData>
    <row r="1" spans="1:73" ht="24" customHeight="1">
      <c r="A1" s="1036" t="s">
        <v>33</v>
      </c>
      <c r="B1" s="1037"/>
      <c r="C1" s="1038"/>
      <c r="D1" s="122" t="s">
        <v>232</v>
      </c>
      <c r="E1" s="990"/>
      <c r="F1" s="1133"/>
      <c r="G1" s="991"/>
      <c r="H1" s="122" t="s">
        <v>232</v>
      </c>
      <c r="I1" s="990"/>
      <c r="J1" s="1121"/>
      <c r="K1" s="992"/>
      <c r="BO1"/>
      <c r="BP1"/>
      <c r="BQ1"/>
      <c r="BR1"/>
      <c r="BS1"/>
      <c r="BT1"/>
      <c r="BU1"/>
    </row>
    <row r="2" spans="1:73" ht="18" customHeight="1">
      <c r="A2" s="45">
        <v>64</v>
      </c>
      <c r="B2" s="1023" t="s">
        <v>70</v>
      </c>
      <c r="C2" s="1039"/>
      <c r="D2" s="130"/>
      <c r="E2" s="1032">
        <v>27840</v>
      </c>
      <c r="F2" s="1134"/>
      <c r="G2" s="1029"/>
      <c r="H2" s="135"/>
      <c r="I2" s="1002"/>
      <c r="J2" s="1106"/>
      <c r="K2" s="1107"/>
      <c r="BO2"/>
      <c r="BP2"/>
      <c r="BQ2"/>
      <c r="BR2"/>
      <c r="BS2"/>
      <c r="BT2"/>
      <c r="BU2"/>
    </row>
    <row r="3" spans="1:73" ht="18" customHeight="1">
      <c r="A3" s="45" t="s">
        <v>322</v>
      </c>
      <c r="B3" s="1023" t="s">
        <v>71</v>
      </c>
      <c r="C3" s="1039"/>
      <c r="D3" s="94">
        <v>0</v>
      </c>
      <c r="E3" s="1122">
        <f>+D3*2070</f>
        <v>0</v>
      </c>
      <c r="F3" s="1123"/>
      <c r="G3" s="1124"/>
      <c r="H3" s="135"/>
      <c r="I3" s="1002"/>
      <c r="J3" s="1106"/>
      <c r="K3" s="1107"/>
      <c r="L3" s="147"/>
      <c r="BO3"/>
      <c r="BP3"/>
      <c r="BQ3"/>
      <c r="BR3"/>
      <c r="BS3"/>
      <c r="BT3"/>
      <c r="BU3"/>
    </row>
    <row r="4" spans="1:73" ht="24" customHeight="1">
      <c r="A4" s="45" t="s">
        <v>323</v>
      </c>
      <c r="B4" s="1047" t="s">
        <v>72</v>
      </c>
      <c r="C4" s="1048"/>
      <c r="D4" s="94">
        <v>0</v>
      </c>
      <c r="E4" s="1032">
        <f>+D4*4140</f>
        <v>0</v>
      </c>
      <c r="F4" s="1125"/>
      <c r="G4" s="1126"/>
      <c r="H4" s="135"/>
      <c r="I4" s="1002"/>
      <c r="J4" s="1106"/>
      <c r="K4" s="1107"/>
      <c r="L4" s="147"/>
      <c r="BO4"/>
      <c r="BP4"/>
      <c r="BQ4"/>
      <c r="BR4"/>
      <c r="BS4"/>
      <c r="BT4"/>
      <c r="BU4"/>
    </row>
    <row r="5" spans="1:73" ht="24" customHeight="1">
      <c r="A5" s="45">
        <v>66</v>
      </c>
      <c r="B5" s="1047" t="s">
        <v>3478</v>
      </c>
      <c r="C5" s="1048"/>
      <c r="D5" s="94">
        <v>0</v>
      </c>
      <c r="E5" s="1028">
        <f>+D5*210</f>
        <v>0</v>
      </c>
      <c r="F5" s="1079"/>
      <c r="G5" s="1080"/>
      <c r="H5" s="135"/>
      <c r="I5" s="1002"/>
      <c r="J5" s="1106"/>
      <c r="K5" s="1107"/>
      <c r="BO5"/>
      <c r="BP5"/>
      <c r="BQ5"/>
      <c r="BR5"/>
      <c r="BS5"/>
      <c r="BT5"/>
      <c r="BU5"/>
    </row>
    <row r="6" spans="1:73" ht="24" customHeight="1">
      <c r="A6" s="45">
        <v>67</v>
      </c>
      <c r="B6" s="1047" t="s">
        <v>3479</v>
      </c>
      <c r="C6" s="1048"/>
      <c r="D6" s="94">
        <v>0</v>
      </c>
      <c r="E6" s="1028">
        <f>+D6*420</f>
        <v>0</v>
      </c>
      <c r="F6" s="1079"/>
      <c r="G6" s="1080"/>
      <c r="H6" s="135"/>
      <c r="I6" s="1002"/>
      <c r="J6" s="1106"/>
      <c r="K6" s="1107"/>
      <c r="BO6"/>
      <c r="BP6"/>
      <c r="BQ6"/>
      <c r="BR6"/>
      <c r="BS6"/>
      <c r="BT6"/>
      <c r="BU6"/>
    </row>
    <row r="7" spans="1:73" ht="18" customHeight="1">
      <c r="A7" s="45">
        <v>68</v>
      </c>
      <c r="B7" s="1047" t="s">
        <v>3797</v>
      </c>
      <c r="C7" s="1048"/>
      <c r="D7" s="94">
        <v>0</v>
      </c>
      <c r="E7" s="1028">
        <f>+D7*1345</f>
        <v>0</v>
      </c>
      <c r="F7" s="1079"/>
      <c r="G7" s="1080"/>
      <c r="H7" s="135"/>
      <c r="I7" s="1002"/>
      <c r="J7" s="1106"/>
      <c r="K7" s="1107"/>
      <c r="BO7"/>
      <c r="BP7"/>
      <c r="BQ7"/>
      <c r="BR7"/>
      <c r="BS7"/>
      <c r="BT7"/>
      <c r="BU7"/>
    </row>
    <row r="8" spans="1:73" ht="18" customHeight="1">
      <c r="A8" s="45">
        <v>69</v>
      </c>
      <c r="B8" s="1047" t="s">
        <v>73</v>
      </c>
      <c r="C8" s="1048"/>
      <c r="D8" s="94">
        <v>0</v>
      </c>
      <c r="E8" s="1028">
        <f>+D8*335</f>
        <v>0</v>
      </c>
      <c r="F8" s="1079"/>
      <c r="G8" s="1080"/>
      <c r="H8" s="135"/>
      <c r="I8" s="1002"/>
      <c r="J8" s="1106"/>
      <c r="K8" s="1107"/>
      <c r="BO8"/>
      <c r="BP8"/>
      <c r="BQ8"/>
      <c r="BR8"/>
      <c r="BS8"/>
      <c r="BT8"/>
      <c r="BU8"/>
    </row>
    <row r="9" spans="1:73" ht="18" customHeight="1">
      <c r="A9" s="45" t="s">
        <v>68</v>
      </c>
      <c r="B9" s="1047" t="s">
        <v>69</v>
      </c>
      <c r="C9" s="1048"/>
      <c r="D9" s="130"/>
      <c r="E9" s="1032">
        <v>0</v>
      </c>
      <c r="F9" s="1125"/>
      <c r="G9" s="1126"/>
      <c r="H9" s="135"/>
      <c r="I9" s="1002"/>
      <c r="J9" s="1106"/>
      <c r="K9" s="1107"/>
      <c r="BO9"/>
      <c r="BP9"/>
      <c r="BQ9"/>
      <c r="BR9"/>
      <c r="BS9"/>
      <c r="BT9"/>
      <c r="BU9"/>
    </row>
    <row r="10" spans="1:73" ht="18" customHeight="1">
      <c r="A10" s="45" t="s">
        <v>3623</v>
      </c>
      <c r="B10" s="1047" t="s">
        <v>3791</v>
      </c>
      <c r="C10" s="1048"/>
      <c r="D10" s="130"/>
      <c r="E10" s="1032">
        <v>0</v>
      </c>
      <c r="F10" s="1125"/>
      <c r="G10" s="1126"/>
      <c r="H10" s="135"/>
      <c r="I10" s="1002"/>
      <c r="J10" s="1106"/>
      <c r="K10" s="1107"/>
      <c r="BO10"/>
      <c r="BP10"/>
      <c r="BQ10"/>
      <c r="BR10"/>
      <c r="BS10"/>
      <c r="BT10"/>
      <c r="BU10"/>
    </row>
    <row r="11" spans="1:73" ht="30" customHeight="1">
      <c r="A11" s="45">
        <v>70</v>
      </c>
      <c r="B11" s="1047" t="s">
        <v>3674</v>
      </c>
      <c r="C11" s="1048"/>
      <c r="D11" s="130"/>
      <c r="E11" s="1028">
        <f>+SUM(E2:F10)+'DAP2'!F41+'DAP2'!F42</f>
        <v>27840</v>
      </c>
      <c r="F11" s="1079"/>
      <c r="G11" s="1080"/>
      <c r="H11" s="135"/>
      <c r="I11" s="1002"/>
      <c r="J11" s="1106"/>
      <c r="K11" s="1107"/>
      <c r="BR11"/>
      <c r="BS11"/>
      <c r="BT11"/>
      <c r="BU11"/>
    </row>
    <row r="12" spans="1:73" ht="24" customHeight="1" thickBot="1">
      <c r="A12" s="46">
        <v>71</v>
      </c>
      <c r="B12" s="1110" t="s">
        <v>3480</v>
      </c>
      <c r="C12" s="1111"/>
      <c r="D12" s="131"/>
      <c r="E12" s="1068">
        <f>+MAX('DAP2'!F38-'DAP3'!E11,0)</f>
        <v>0</v>
      </c>
      <c r="F12" s="1142"/>
      <c r="G12" s="1143"/>
      <c r="H12" s="137"/>
      <c r="I12" s="1010"/>
      <c r="J12" s="1150"/>
      <c r="K12" s="1151"/>
      <c r="BR12"/>
      <c r="BS12"/>
      <c r="BT12"/>
      <c r="BU12"/>
    </row>
    <row r="13" spans="1:73" ht="15.95" customHeight="1" thickBot="1">
      <c r="A13" s="1152" t="s">
        <v>3481</v>
      </c>
      <c r="B13" s="1152"/>
      <c r="C13" s="1153"/>
      <c r="D13" s="1153"/>
      <c r="E13" s="1153"/>
      <c r="F13" s="1153"/>
      <c r="G13" s="1153"/>
      <c r="H13" s="1153"/>
      <c r="I13" s="1153"/>
      <c r="J13" s="1153"/>
      <c r="K13" s="1153"/>
    </row>
    <row r="14" spans="1:73" ht="22.5" customHeight="1">
      <c r="A14" s="1103"/>
      <c r="B14" s="1145" t="s">
        <v>3484</v>
      </c>
      <c r="C14" s="1156"/>
      <c r="D14" s="1145" t="s">
        <v>148</v>
      </c>
      <c r="E14" s="1146"/>
      <c r="F14" s="1128" t="s">
        <v>3482</v>
      </c>
      <c r="G14" s="1149"/>
      <c r="H14" s="1128" t="s">
        <v>3483</v>
      </c>
      <c r="I14" s="1149"/>
      <c r="J14" s="1128" t="s">
        <v>3575</v>
      </c>
      <c r="K14" s="1129"/>
      <c r="BQ14"/>
      <c r="BR14"/>
      <c r="BS14"/>
      <c r="BT14"/>
      <c r="BU14"/>
    </row>
    <row r="15" spans="1:73" ht="21.95" customHeight="1">
      <c r="A15" s="1104"/>
      <c r="B15" s="1147"/>
      <c r="C15" s="1148"/>
      <c r="D15" s="1147"/>
      <c r="E15" s="1148"/>
      <c r="F15" s="763" t="s">
        <v>3573</v>
      </c>
      <c r="G15" s="763" t="s">
        <v>3574</v>
      </c>
      <c r="H15" s="763" t="s">
        <v>3573</v>
      </c>
      <c r="I15" s="763" t="s">
        <v>3574</v>
      </c>
      <c r="J15" s="763" t="s">
        <v>3573</v>
      </c>
      <c r="K15" s="355" t="s">
        <v>3574</v>
      </c>
      <c r="BQ15"/>
      <c r="BR15"/>
      <c r="BS15"/>
      <c r="BT15"/>
      <c r="BU15"/>
    </row>
    <row r="16" spans="1:73" ht="12" customHeight="1">
      <c r="A16" s="1105"/>
      <c r="B16" s="1154">
        <v>1</v>
      </c>
      <c r="C16" s="1155"/>
      <c r="D16" s="1154">
        <v>2</v>
      </c>
      <c r="E16" s="1154"/>
      <c r="F16" s="1108">
        <v>3</v>
      </c>
      <c r="G16" s="1130"/>
      <c r="H16" s="1108">
        <v>4</v>
      </c>
      <c r="I16" s="1130"/>
      <c r="J16" s="1108">
        <v>5</v>
      </c>
      <c r="K16" s="1109"/>
      <c r="BQ16"/>
      <c r="BR16"/>
      <c r="BS16"/>
      <c r="BT16"/>
      <c r="BU16"/>
    </row>
    <row r="17" spans="1:73" ht="18" customHeight="1">
      <c r="A17" s="141">
        <v>1</v>
      </c>
      <c r="B17" s="1131" t="s">
        <v>142</v>
      </c>
      <c r="C17" s="1132"/>
      <c r="D17" s="1139"/>
      <c r="E17" s="1144"/>
      <c r="F17" s="764"/>
      <c r="G17" s="765"/>
      <c r="H17" s="764"/>
      <c r="I17" s="765"/>
      <c r="J17" s="764"/>
      <c r="K17" s="454"/>
      <c r="BQ17"/>
      <c r="BR17"/>
      <c r="BS17"/>
      <c r="BT17"/>
      <c r="BU17"/>
    </row>
    <row r="18" spans="1:73" ht="18" customHeight="1">
      <c r="A18" s="141">
        <v>2</v>
      </c>
      <c r="B18" s="1131" t="s">
        <v>142</v>
      </c>
      <c r="C18" s="1132"/>
      <c r="D18" s="1139"/>
      <c r="E18" s="1139"/>
      <c r="F18" s="764"/>
      <c r="G18" s="765"/>
      <c r="H18" s="764"/>
      <c r="I18" s="765"/>
      <c r="J18" s="764"/>
      <c r="K18" s="454"/>
      <c r="BQ18"/>
      <c r="BR18"/>
      <c r="BS18"/>
      <c r="BT18"/>
      <c r="BU18"/>
    </row>
    <row r="19" spans="1:73" ht="18" customHeight="1">
      <c r="A19" s="141">
        <v>3</v>
      </c>
      <c r="B19" s="1131" t="s">
        <v>142</v>
      </c>
      <c r="C19" s="1132"/>
      <c r="D19" s="1139"/>
      <c r="E19" s="1139"/>
      <c r="F19" s="764"/>
      <c r="G19" s="765"/>
      <c r="H19" s="764"/>
      <c r="I19" s="765"/>
      <c r="J19" s="764"/>
      <c r="K19" s="454"/>
      <c r="BQ19"/>
      <c r="BR19"/>
      <c r="BS19"/>
      <c r="BT19"/>
      <c r="BU19"/>
    </row>
    <row r="20" spans="1:73" ht="18" customHeight="1">
      <c r="A20" s="141">
        <v>4</v>
      </c>
      <c r="B20" s="1131" t="s">
        <v>142</v>
      </c>
      <c r="C20" s="1132"/>
      <c r="D20" s="1139"/>
      <c r="E20" s="1139"/>
      <c r="F20" s="764"/>
      <c r="G20" s="765"/>
      <c r="H20" s="764"/>
      <c r="I20" s="765"/>
      <c r="J20" s="764"/>
      <c r="K20" s="454"/>
      <c r="BQ20"/>
      <c r="BR20"/>
      <c r="BS20"/>
      <c r="BT20"/>
      <c r="BU20"/>
    </row>
    <row r="21" spans="1:73" ht="15.95" customHeight="1" thickBot="1">
      <c r="A21" s="142"/>
      <c r="B21" s="1137" t="s">
        <v>59</v>
      </c>
      <c r="C21" s="1138"/>
      <c r="D21" s="1127"/>
      <c r="E21" s="1127"/>
      <c r="F21" s="354">
        <f t="shared" ref="F21:I21" si="0">+SUM(F17:F20)</f>
        <v>0</v>
      </c>
      <c r="G21" s="354">
        <f t="shared" si="0"/>
        <v>0</v>
      </c>
      <c r="H21" s="354">
        <f t="shared" si="0"/>
        <v>0</v>
      </c>
      <c r="I21" s="354">
        <f t="shared" si="0"/>
        <v>0</v>
      </c>
      <c r="J21" s="761">
        <f>+SUM(J17:J20)+Příl_děti!J13</f>
        <v>0</v>
      </c>
      <c r="K21" s="762">
        <f>+SUM(K17:K20)+Příl_děti!K13</f>
        <v>0</v>
      </c>
      <c r="BU21"/>
    </row>
    <row r="22" spans="1:73" ht="6" customHeight="1" thickBot="1">
      <c r="A22" s="1140"/>
      <c r="B22" s="1140"/>
      <c r="C22" s="1141"/>
      <c r="D22" s="1141"/>
      <c r="E22" s="1141"/>
      <c r="F22" s="1141"/>
      <c r="G22" s="1141"/>
      <c r="H22" s="1141"/>
      <c r="I22" s="1141"/>
      <c r="J22" s="1141"/>
      <c r="K22" s="1141"/>
    </row>
    <row r="23" spans="1:73" ht="18" customHeight="1">
      <c r="A23" s="638">
        <v>72</v>
      </c>
      <c r="B23" s="1135" t="s">
        <v>60</v>
      </c>
      <c r="C23" s="1136"/>
      <c r="D23" s="1096">
        <f>+F21*1267+G21*2534+H21*1860+I21*3720+J21*2320+K21*4640</f>
        <v>0</v>
      </c>
      <c r="E23" s="1097"/>
      <c r="F23" s="1097"/>
      <c r="G23" s="1098"/>
      <c r="H23" s="1164"/>
      <c r="I23" s="1165"/>
      <c r="J23" s="1165"/>
      <c r="K23" s="1166"/>
      <c r="L23" s="147"/>
    </row>
    <row r="24" spans="1:73" ht="24" customHeight="1">
      <c r="A24" s="19">
        <v>73</v>
      </c>
      <c r="B24" s="974" t="s">
        <v>3485</v>
      </c>
      <c r="C24" s="1169"/>
      <c r="D24" s="1173">
        <f>+MIN(D23,E12)</f>
        <v>0</v>
      </c>
      <c r="E24" s="1174"/>
      <c r="F24" s="1174"/>
      <c r="G24" s="1175"/>
      <c r="H24" s="1170"/>
      <c r="I24" s="1171"/>
      <c r="J24" s="1171"/>
      <c r="K24" s="1172"/>
    </row>
    <row r="25" spans="1:73" s="639" customFormat="1" ht="18" customHeight="1">
      <c r="A25" s="647">
        <v>74</v>
      </c>
      <c r="B25" s="1177" t="s">
        <v>3624</v>
      </c>
      <c r="C25" s="1178"/>
      <c r="D25" s="1173">
        <f>+E12-D24</f>
        <v>0</v>
      </c>
      <c r="E25" s="1174"/>
      <c r="F25" s="1174"/>
      <c r="G25" s="1175"/>
      <c r="H25" s="1179"/>
      <c r="I25" s="1180"/>
      <c r="J25" s="1180"/>
      <c r="K25" s="1181"/>
      <c r="L25" s="640"/>
      <c r="M25" s="640"/>
      <c r="N25" s="640"/>
      <c r="O25" s="640"/>
      <c r="P25" s="640"/>
      <c r="Q25" s="640"/>
      <c r="R25" s="640"/>
      <c r="S25" s="640"/>
      <c r="T25" s="640"/>
      <c r="U25" s="640"/>
      <c r="V25" s="640"/>
      <c r="W25" s="640"/>
      <c r="X25" s="640"/>
      <c r="Y25" s="640"/>
      <c r="Z25" s="640"/>
      <c r="AA25" s="640"/>
      <c r="AB25" s="640"/>
      <c r="AC25" s="640"/>
      <c r="AD25" s="640"/>
      <c r="AE25" s="640"/>
      <c r="AF25" s="640"/>
      <c r="AG25" s="640"/>
      <c r="AH25" s="640"/>
      <c r="AI25" s="640"/>
      <c r="AJ25" s="640"/>
      <c r="AK25" s="640"/>
      <c r="AL25" s="640"/>
      <c r="AM25" s="640"/>
      <c r="AN25" s="640"/>
      <c r="AO25" s="640"/>
      <c r="AP25" s="640"/>
      <c r="AQ25" s="640"/>
      <c r="AR25" s="640"/>
      <c r="AS25" s="640"/>
      <c r="AT25" s="640"/>
      <c r="AU25" s="640"/>
      <c r="AV25" s="640"/>
      <c r="AW25" s="640"/>
      <c r="AX25" s="640"/>
      <c r="AY25" s="640"/>
      <c r="AZ25" s="640"/>
      <c r="BA25" s="640"/>
      <c r="BB25" s="640"/>
      <c r="BC25" s="640"/>
      <c r="BD25" s="640"/>
      <c r="BE25" s="640"/>
      <c r="BF25" s="640"/>
      <c r="BG25" s="640"/>
      <c r="BH25" s="640"/>
      <c r="BI25" s="640"/>
      <c r="BJ25" s="640"/>
      <c r="BK25" s="640"/>
      <c r="BL25" s="640"/>
      <c r="BM25" s="640"/>
      <c r="BN25" s="640"/>
      <c r="BO25" s="640"/>
      <c r="BP25" s="640"/>
      <c r="BQ25" s="640"/>
      <c r="BR25" s="640"/>
      <c r="BS25" s="640"/>
      <c r="BT25" s="640"/>
      <c r="BU25" s="640"/>
    </row>
    <row r="26" spans="1:73" ht="24" customHeight="1" thickBot="1">
      <c r="A26" s="648" t="s">
        <v>3844</v>
      </c>
      <c r="B26" s="1167" t="s">
        <v>3845</v>
      </c>
      <c r="C26" s="1168"/>
      <c r="D26" s="1118">
        <f>+'4Př'!F19</f>
        <v>0</v>
      </c>
      <c r="E26" s="1119"/>
      <c r="F26" s="1119"/>
      <c r="G26" s="1120"/>
      <c r="H26" s="1157"/>
      <c r="I26" s="1158"/>
      <c r="J26" s="1158"/>
      <c r="K26" s="1159"/>
    </row>
    <row r="27" spans="1:73" ht="6" customHeight="1" thickBot="1">
      <c r="A27" s="1140"/>
      <c r="B27" s="1140"/>
      <c r="C27" s="1141"/>
      <c r="D27" s="1141"/>
      <c r="E27" s="1141"/>
      <c r="F27" s="1141"/>
      <c r="G27" s="1141"/>
      <c r="H27" s="1141"/>
      <c r="I27" s="1141"/>
      <c r="J27" s="1141"/>
      <c r="K27" s="1141"/>
    </row>
    <row r="28" spans="1:73" ht="18" customHeight="1">
      <c r="A28" s="638">
        <v>75</v>
      </c>
      <c r="B28" s="1135" t="s">
        <v>3846</v>
      </c>
      <c r="C28" s="1136"/>
      <c r="D28" s="1096">
        <f>+D25+D26</f>
        <v>0</v>
      </c>
      <c r="E28" s="1097"/>
      <c r="F28" s="1097"/>
      <c r="G28" s="1098"/>
      <c r="H28" s="1164"/>
      <c r="I28" s="1165"/>
      <c r="J28" s="1165"/>
      <c r="K28" s="1166"/>
    </row>
    <row r="29" spans="1:73" s="639" customFormat="1" ht="18" customHeight="1">
      <c r="A29" s="19">
        <v>76</v>
      </c>
      <c r="B29" s="974" t="s">
        <v>3486</v>
      </c>
      <c r="C29" s="1169"/>
      <c r="D29" s="1173">
        <f>IF(OR(+D23-D24&lt;99,+MAX('1Př1'!F11+'1Př1'!A27+'1Př1'!F19+'1Př1'!F22)+'DAP2'!E7&lt;6*15200),0,+D23-D24)</f>
        <v>0</v>
      </c>
      <c r="E29" s="1174"/>
      <c r="F29" s="1174"/>
      <c r="G29" s="1175"/>
      <c r="H29" s="1170"/>
      <c r="I29" s="1171"/>
      <c r="J29" s="1171"/>
      <c r="K29" s="1172"/>
      <c r="L29" s="640"/>
      <c r="M29" s="640"/>
      <c r="N29" s="640"/>
      <c r="O29" s="640"/>
      <c r="P29" s="640"/>
      <c r="Q29" s="640"/>
      <c r="R29" s="640"/>
      <c r="S29" s="640"/>
      <c r="T29" s="640"/>
      <c r="U29" s="640"/>
      <c r="V29" s="640"/>
      <c r="W29" s="640"/>
      <c r="X29" s="640"/>
      <c r="Y29" s="640"/>
      <c r="Z29" s="640"/>
      <c r="AA29" s="640"/>
      <c r="AB29" s="640"/>
      <c r="AC29" s="640"/>
      <c r="AD29" s="640"/>
      <c r="AE29" s="640"/>
      <c r="AF29" s="640"/>
      <c r="AG29" s="640"/>
      <c r="AH29" s="640"/>
      <c r="AI29" s="640"/>
      <c r="AJ29" s="640"/>
      <c r="AK29" s="640"/>
      <c r="AL29" s="640"/>
      <c r="AM29" s="640"/>
      <c r="AN29" s="640"/>
      <c r="AO29" s="640"/>
      <c r="AP29" s="640"/>
      <c r="AQ29" s="640"/>
      <c r="AR29" s="640"/>
      <c r="AS29" s="640"/>
      <c r="AT29" s="640"/>
      <c r="AU29" s="640"/>
      <c r="AV29" s="640"/>
      <c r="AW29" s="640"/>
      <c r="AX29" s="640"/>
      <c r="AY29" s="640"/>
      <c r="AZ29" s="640"/>
      <c r="BA29" s="640"/>
      <c r="BB29" s="640"/>
      <c r="BC29" s="640"/>
      <c r="BD29" s="640"/>
      <c r="BE29" s="640"/>
      <c r="BF29" s="640"/>
      <c r="BG29" s="640"/>
      <c r="BH29" s="640"/>
      <c r="BI29" s="640"/>
      <c r="BJ29" s="640"/>
      <c r="BK29" s="640"/>
      <c r="BL29" s="640"/>
      <c r="BM29" s="640"/>
      <c r="BN29" s="640"/>
      <c r="BO29" s="640"/>
      <c r="BP29" s="640"/>
      <c r="BQ29" s="640"/>
      <c r="BR29" s="640"/>
      <c r="BS29" s="640"/>
      <c r="BT29" s="640"/>
      <c r="BU29" s="640"/>
    </row>
    <row r="30" spans="1:73" ht="24" customHeight="1">
      <c r="A30" s="19">
        <v>77</v>
      </c>
      <c r="B30" s="974" t="s">
        <v>3847</v>
      </c>
      <c r="C30" s="1169"/>
      <c r="D30" s="1173">
        <f>+MAX(0,D28-D29)</f>
        <v>0</v>
      </c>
      <c r="E30" s="1174"/>
      <c r="F30" s="1174"/>
      <c r="G30" s="1175"/>
      <c r="H30" s="1170"/>
      <c r="I30" s="1171"/>
      <c r="J30" s="1171"/>
      <c r="K30" s="1172"/>
    </row>
    <row r="31" spans="1:73" ht="24" customHeight="1" thickBot="1">
      <c r="A31" s="18" t="s">
        <v>3848</v>
      </c>
      <c r="B31" s="996" t="s">
        <v>3849</v>
      </c>
      <c r="C31" s="1163"/>
      <c r="D31" s="977">
        <f>+MAX(0,-D28+D29)</f>
        <v>0</v>
      </c>
      <c r="E31" s="978"/>
      <c r="F31" s="978"/>
      <c r="G31" s="1176"/>
      <c r="H31" s="1160"/>
      <c r="I31" s="1161"/>
      <c r="J31" s="1161"/>
      <c r="K31" s="1162"/>
    </row>
    <row r="32" spans="1:73" ht="15.95" customHeight="1" thickBot="1">
      <c r="A32" s="1099" t="s">
        <v>324</v>
      </c>
      <c r="B32" s="1099"/>
      <c r="C32" s="1100"/>
      <c r="D32" s="1100"/>
      <c r="E32" s="1100"/>
      <c r="F32" s="1100"/>
      <c r="G32" s="1100"/>
      <c r="H32" s="1100"/>
      <c r="I32" s="1100"/>
      <c r="J32" s="1100"/>
      <c r="K32" s="1100"/>
    </row>
    <row r="33" spans="1:11" ht="18" customHeight="1">
      <c r="A33" s="21">
        <v>78</v>
      </c>
      <c r="B33" s="1081" t="s">
        <v>210</v>
      </c>
      <c r="C33" s="1082"/>
      <c r="D33" s="1096">
        <v>0</v>
      </c>
      <c r="E33" s="1097"/>
      <c r="F33" s="1097"/>
      <c r="G33" s="1098"/>
      <c r="H33" s="1086"/>
      <c r="I33" s="1087"/>
      <c r="J33" s="1087"/>
      <c r="K33" s="1088"/>
    </row>
    <row r="34" spans="1:11" ht="24" customHeight="1">
      <c r="A34" s="21">
        <v>79</v>
      </c>
      <c r="B34" s="1101" t="s">
        <v>3850</v>
      </c>
      <c r="C34" s="1102"/>
      <c r="D34" s="960">
        <f>+IF(OR(EXACT("X",'DAP1'!E13),EXACT("x",'DAP1'!E13)),'DAP3'!D26,0)</f>
        <v>0</v>
      </c>
      <c r="E34" s="961"/>
      <c r="F34" s="961"/>
      <c r="G34" s="1089"/>
      <c r="H34" s="1086"/>
      <c r="I34" s="1087"/>
      <c r="J34" s="1087"/>
      <c r="K34" s="1088"/>
    </row>
    <row r="35" spans="1:11" ht="24" customHeight="1">
      <c r="A35" s="21">
        <v>80</v>
      </c>
      <c r="B35" s="1090" t="s">
        <v>3487</v>
      </c>
      <c r="C35" s="1091"/>
      <c r="D35" s="957">
        <f>+D34-D33</f>
        <v>0</v>
      </c>
      <c r="E35" s="958"/>
      <c r="F35" s="958"/>
      <c r="G35" s="1094"/>
      <c r="H35" s="1086"/>
      <c r="I35" s="1087"/>
      <c r="J35" s="1087"/>
      <c r="K35" s="1088"/>
    </row>
    <row r="36" spans="1:11" ht="18" customHeight="1">
      <c r="A36" s="21">
        <v>81</v>
      </c>
      <c r="B36" s="1090" t="s">
        <v>3488</v>
      </c>
      <c r="C36" s="1091"/>
      <c r="D36" s="960">
        <v>0</v>
      </c>
      <c r="E36" s="961"/>
      <c r="F36" s="961"/>
      <c r="G36" s="1089"/>
      <c r="H36" s="1086"/>
      <c r="I36" s="1087"/>
      <c r="J36" s="1087"/>
      <c r="K36" s="1088"/>
    </row>
    <row r="37" spans="1:11" ht="24" customHeight="1">
      <c r="A37" s="21">
        <v>82</v>
      </c>
      <c r="B37" s="1090" t="s">
        <v>211</v>
      </c>
      <c r="C37" s="1091"/>
      <c r="D37" s="960">
        <f>+IF(OR(EXACT("X",'DAP1'!E13),EXACT("x",'DAP1'!E13)),'DAP2'!F39,0)</f>
        <v>0</v>
      </c>
      <c r="E37" s="961"/>
      <c r="F37" s="961"/>
      <c r="G37" s="1089"/>
      <c r="H37" s="1086"/>
      <c r="I37" s="1087"/>
      <c r="J37" s="1087"/>
      <c r="K37" s="1088"/>
    </row>
    <row r="38" spans="1:11" ht="24" customHeight="1" thickBot="1">
      <c r="A38" s="22">
        <v>83</v>
      </c>
      <c r="B38" s="1092" t="s">
        <v>3489</v>
      </c>
      <c r="C38" s="1093"/>
      <c r="D38" s="1007">
        <f>+D37-D36</f>
        <v>0</v>
      </c>
      <c r="E38" s="1008"/>
      <c r="F38" s="1008"/>
      <c r="G38" s="1095"/>
      <c r="H38" s="1083"/>
      <c r="I38" s="1084"/>
      <c r="J38" s="1084"/>
      <c r="K38" s="1085"/>
    </row>
    <row r="39" spans="1:11" ht="15.95" customHeight="1" thickBot="1">
      <c r="A39" s="1099" t="s">
        <v>325</v>
      </c>
      <c r="B39" s="1099"/>
      <c r="C39" s="1100"/>
      <c r="D39" s="1100"/>
      <c r="E39" s="1100"/>
      <c r="F39" s="1100"/>
      <c r="G39" s="1100"/>
      <c r="H39" s="1100"/>
      <c r="I39" s="1100"/>
      <c r="J39" s="1100"/>
      <c r="K39" s="1100"/>
    </row>
    <row r="40" spans="1:11" ht="24" customHeight="1">
      <c r="A40" s="119">
        <v>84</v>
      </c>
      <c r="B40" s="949" t="s">
        <v>3490</v>
      </c>
      <c r="C40" s="1115"/>
      <c r="D40" s="1096">
        <f>+'DAP2'!M5</f>
        <v>0</v>
      </c>
      <c r="E40" s="1097"/>
      <c r="F40" s="1097"/>
      <c r="G40" s="1098"/>
      <c r="H40" s="1086"/>
      <c r="I40" s="1087"/>
      <c r="J40" s="1087"/>
      <c r="K40" s="1088"/>
    </row>
    <row r="41" spans="1:11" ht="18" customHeight="1">
      <c r="A41" s="21">
        <v>85</v>
      </c>
      <c r="B41" s="1113" t="s">
        <v>106</v>
      </c>
      <c r="C41" s="1114"/>
      <c r="D41" s="960">
        <v>0</v>
      </c>
      <c r="E41" s="961"/>
      <c r="F41" s="961"/>
      <c r="G41" s="1089"/>
      <c r="H41" s="1086"/>
      <c r="I41" s="1087"/>
      <c r="J41" s="1087"/>
      <c r="K41" s="1088"/>
    </row>
    <row r="42" spans="1:11" ht="24" customHeight="1">
      <c r="A42" s="21">
        <v>86</v>
      </c>
      <c r="B42" s="974" t="s">
        <v>3851</v>
      </c>
      <c r="C42" s="1112"/>
      <c r="D42" s="960">
        <v>0</v>
      </c>
      <c r="E42" s="961"/>
      <c r="F42" s="961"/>
      <c r="G42" s="1089"/>
      <c r="H42" s="1086"/>
      <c r="I42" s="1087"/>
      <c r="J42" s="1087"/>
      <c r="K42" s="1088"/>
    </row>
    <row r="43" spans="1:11" ht="18" customHeight="1">
      <c r="A43" s="21">
        <v>87</v>
      </c>
      <c r="B43" s="1113" t="s">
        <v>3993</v>
      </c>
      <c r="C43" s="1114"/>
      <c r="D43" s="960">
        <f>+'DAP2'!M6</f>
        <v>0</v>
      </c>
      <c r="E43" s="961"/>
      <c r="F43" s="961"/>
      <c r="G43" s="1089"/>
      <c r="H43" s="1086"/>
      <c r="I43" s="1087"/>
      <c r="J43" s="1087"/>
      <c r="K43" s="1088"/>
    </row>
    <row r="44" spans="1:11" ht="18" customHeight="1">
      <c r="A44" s="21" t="s">
        <v>289</v>
      </c>
      <c r="B44" s="1113" t="s">
        <v>290</v>
      </c>
      <c r="C44" s="1114"/>
      <c r="D44" s="960">
        <v>0</v>
      </c>
      <c r="E44" s="961"/>
      <c r="F44" s="961"/>
      <c r="G44" s="1089"/>
      <c r="H44" s="1086"/>
      <c r="I44" s="1087"/>
      <c r="J44" s="1087"/>
      <c r="K44" s="1088"/>
    </row>
    <row r="45" spans="1:11" ht="18" customHeight="1">
      <c r="A45" s="21">
        <v>88</v>
      </c>
      <c r="B45" s="1024" t="s">
        <v>115</v>
      </c>
      <c r="C45" s="1112"/>
      <c r="D45" s="960">
        <v>0</v>
      </c>
      <c r="E45" s="961"/>
      <c r="F45" s="961"/>
      <c r="G45" s="1089"/>
      <c r="H45" s="1086"/>
      <c r="I45" s="1087"/>
      <c r="J45" s="1087"/>
      <c r="K45" s="1088"/>
    </row>
    <row r="46" spans="1:11" ht="24" customHeight="1">
      <c r="A46" s="21">
        <v>89</v>
      </c>
      <c r="B46" s="974" t="s">
        <v>3852</v>
      </c>
      <c r="C46" s="1112"/>
      <c r="D46" s="960">
        <f>+'DAP2'!M7</f>
        <v>0</v>
      </c>
      <c r="E46" s="961"/>
      <c r="F46" s="961"/>
      <c r="G46" s="1089"/>
      <c r="H46" s="1086"/>
      <c r="I46" s="1087"/>
      <c r="J46" s="1087"/>
      <c r="K46" s="1088"/>
    </row>
    <row r="47" spans="1:11" ht="18" customHeight="1">
      <c r="A47" s="21">
        <v>90</v>
      </c>
      <c r="B47" s="1113" t="s">
        <v>90</v>
      </c>
      <c r="C47" s="1114"/>
      <c r="D47" s="960">
        <v>0</v>
      </c>
      <c r="E47" s="961"/>
      <c r="F47" s="961"/>
      <c r="G47" s="1089"/>
      <c r="H47" s="1086"/>
      <c r="I47" s="1087"/>
      <c r="J47" s="1087"/>
      <c r="K47" s="1088"/>
    </row>
    <row r="48" spans="1:11" ht="24" customHeight="1" thickBot="1">
      <c r="A48" s="21">
        <v>91</v>
      </c>
      <c r="B48" s="1116" t="s">
        <v>3978</v>
      </c>
      <c r="C48" s="1117"/>
      <c r="D48" s="1118">
        <f>+IF(OR(EXACT("X",'DAP1'!E13),EXACT("x",'DAP1'!E13)),0,+D30-D31-SUM(D40:E45)+D46-D47)</f>
        <v>0</v>
      </c>
      <c r="E48" s="1119"/>
      <c r="F48" s="1119"/>
      <c r="G48" s="1120"/>
      <c r="H48" s="1086"/>
      <c r="I48" s="1087"/>
      <c r="J48" s="1087"/>
      <c r="K48" s="1088"/>
    </row>
    <row r="49" spans="1:11">
      <c r="A49" s="1013">
        <v>3</v>
      </c>
      <c r="B49" s="1013"/>
      <c r="C49" s="1013"/>
      <c r="D49" s="1013"/>
      <c r="E49" s="1013"/>
      <c r="F49" s="1013"/>
      <c r="G49" s="1013"/>
      <c r="H49" s="1013"/>
      <c r="I49" s="1013"/>
      <c r="J49" s="1013"/>
      <c r="K49" s="1013"/>
    </row>
    <row r="50" spans="1:1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</row>
    <row r="51" spans="1:1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</row>
    <row r="52" spans="1:1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</row>
    <row r="53" spans="1:1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</row>
    <row r="54" spans="1:1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</row>
    <row r="55" spans="1:1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</row>
    <row r="56" spans="1:1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</row>
    <row r="57" spans="1:1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</row>
    <row r="58" spans="1:1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</row>
    <row r="59" spans="1:1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</row>
    <row r="60" spans="1:1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</row>
    <row r="61" spans="1:1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</row>
    <row r="62" spans="1:1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</row>
    <row r="63" spans="1:1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</row>
    <row r="64" spans="1:1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</row>
    <row r="65" spans="1:1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</row>
    <row r="66" spans="1:1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</row>
    <row r="67" spans="1:1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</row>
    <row r="68" spans="1:1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</row>
    <row r="69" spans="1:1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</row>
    <row r="70" spans="1:1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</row>
    <row r="71" spans="1:1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</row>
    <row r="72" spans="1:1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</row>
    <row r="73" spans="1:1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</row>
    <row r="74" spans="1:1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</row>
    <row r="75" spans="1:1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</row>
    <row r="76" spans="1:1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</row>
    <row r="77" spans="1:1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</row>
    <row r="78" spans="1:1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</row>
    <row r="79" spans="1:1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</row>
    <row r="80" spans="1:1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</row>
    <row r="81" spans="1:1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</row>
    <row r="82" spans="1:1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</row>
    <row r="83" spans="1:1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</row>
    <row r="84" spans="1:1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</row>
    <row r="85" spans="1:1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</row>
    <row r="86" spans="1:1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</row>
    <row r="87" spans="1:1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</row>
    <row r="88" spans="1:1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</row>
    <row r="89" spans="1:1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</row>
    <row r="90" spans="1:1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</row>
    <row r="91" spans="1:1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</row>
    <row r="92" spans="1:1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</row>
    <row r="93" spans="1:1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</row>
    <row r="94" spans="1:1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</row>
    <row r="95" spans="1:1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</row>
    <row r="96" spans="1:1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</row>
    <row r="97" s="78" customFormat="1"/>
    <row r="98" s="78" customFormat="1"/>
    <row r="99" s="78" customFormat="1"/>
    <row r="100" s="78" customFormat="1"/>
    <row r="101" s="78" customFormat="1"/>
    <row r="102" s="78" customFormat="1"/>
    <row r="103" s="78" customFormat="1"/>
    <row r="104" s="78" customFormat="1"/>
    <row r="105" s="78" customFormat="1"/>
    <row r="106" s="78" customFormat="1"/>
    <row r="107" s="78" customFormat="1"/>
    <row r="108" s="78" customFormat="1"/>
    <row r="109" s="78" customFormat="1"/>
    <row r="110" s="78" customFormat="1"/>
    <row r="111" s="78" customFormat="1"/>
    <row r="112" s="78" customFormat="1"/>
    <row r="113" s="78" customFormat="1"/>
    <row r="114" s="78" customFormat="1"/>
    <row r="115" s="78" customFormat="1"/>
    <row r="116" s="78" customFormat="1"/>
    <row r="117" s="78" customFormat="1"/>
    <row r="118" s="78" customFormat="1"/>
    <row r="119" s="78" customFormat="1"/>
    <row r="120" s="78" customFormat="1"/>
    <row r="121" s="78" customFormat="1"/>
    <row r="122" s="78" customFormat="1"/>
    <row r="123" s="78" customFormat="1"/>
    <row r="124" s="78" customFormat="1"/>
    <row r="125" s="78" customFormat="1"/>
    <row r="126" s="78" customFormat="1"/>
    <row r="127" s="78" customFormat="1"/>
    <row r="128" s="78" customFormat="1"/>
    <row r="129" s="78" customFormat="1"/>
    <row r="130" s="78" customFormat="1"/>
    <row r="131" s="78" customFormat="1"/>
    <row r="132" s="78" customFormat="1"/>
    <row r="133" s="78" customFormat="1"/>
    <row r="134" s="78" customFormat="1"/>
    <row r="135" s="78" customFormat="1"/>
    <row r="136" s="78" customFormat="1"/>
    <row r="137" s="78" customFormat="1"/>
    <row r="138" s="78" customFormat="1"/>
    <row r="139" s="78" customFormat="1"/>
    <row r="140" s="78" customFormat="1"/>
    <row r="141" s="78" customFormat="1"/>
    <row r="142" s="78" customFormat="1"/>
    <row r="143" s="78" customFormat="1"/>
    <row r="144" s="78" customFormat="1"/>
    <row r="145" s="78" customFormat="1"/>
    <row r="146" s="78" customFormat="1"/>
    <row r="147" s="78" customFormat="1"/>
    <row r="148" s="78" customFormat="1"/>
    <row r="149" s="78" customFormat="1"/>
    <row r="150" s="78" customFormat="1"/>
    <row r="151" s="78" customFormat="1"/>
    <row r="152" s="78" customFormat="1"/>
    <row r="153" s="78" customFormat="1"/>
    <row r="154" s="78" customFormat="1"/>
    <row r="155" s="78" customFormat="1"/>
    <row r="156" s="78" customFormat="1"/>
    <row r="157" s="78" customFormat="1"/>
    <row r="158" s="78" customFormat="1"/>
    <row r="159" s="78" customFormat="1"/>
    <row r="160" s="78" customFormat="1"/>
    <row r="161" s="78" customFormat="1"/>
    <row r="162" s="78" customFormat="1"/>
    <row r="163" s="78" customFormat="1"/>
    <row r="164" s="78" customFormat="1"/>
    <row r="165" s="78" customFormat="1"/>
    <row r="166" s="78" customFormat="1"/>
    <row r="167" s="78" customFormat="1"/>
    <row r="168" s="78" customFormat="1"/>
    <row r="169" s="78" customFormat="1"/>
    <row r="170" s="78" customFormat="1"/>
    <row r="171" s="78" customFormat="1"/>
    <row r="172" s="78" customFormat="1"/>
    <row r="173" s="78" customFormat="1"/>
    <row r="174" s="78" customFormat="1"/>
    <row r="175" s="78" customFormat="1"/>
    <row r="176" s="78" customFormat="1"/>
    <row r="177" s="78" customFormat="1"/>
    <row r="178" s="78" customFormat="1"/>
    <row r="179" s="78" customFormat="1"/>
    <row r="180" s="78" customFormat="1"/>
    <row r="181" s="78" customFormat="1"/>
    <row r="182" s="78" customFormat="1"/>
    <row r="183" s="78" customFormat="1"/>
    <row r="184" s="78" customFormat="1"/>
    <row r="185" s="78" customFormat="1"/>
    <row r="186" s="78" customFormat="1"/>
    <row r="187" s="78" customFormat="1"/>
    <row r="188" s="78" customFormat="1"/>
    <row r="189" s="78" customFormat="1"/>
    <row r="190" s="78" customFormat="1"/>
    <row r="191" s="78" customFormat="1"/>
    <row r="192" s="78" customFormat="1"/>
    <row r="193" s="78" customFormat="1"/>
    <row r="194" s="78" customFormat="1"/>
    <row r="195" s="78" customFormat="1"/>
    <row r="196" s="78" customFormat="1"/>
    <row r="197" s="78" customFormat="1"/>
    <row r="198" s="78" customFormat="1"/>
    <row r="199" s="78" customFormat="1"/>
    <row r="200" s="78" customFormat="1"/>
    <row r="201" s="78" customFormat="1"/>
    <row r="202" s="78" customFormat="1"/>
    <row r="203" s="78" customFormat="1"/>
    <row r="204" s="78" customFormat="1"/>
    <row r="205" s="78" customFormat="1"/>
    <row r="206" s="78" customFormat="1"/>
    <row r="207" s="78" customFormat="1"/>
    <row r="208" s="78" customFormat="1"/>
    <row r="209" s="78" customFormat="1"/>
    <row r="210" s="78" customFormat="1"/>
    <row r="211" s="78" customFormat="1"/>
    <row r="212" s="78" customFormat="1"/>
    <row r="213" s="78" customFormat="1"/>
    <row r="214" s="78" customFormat="1"/>
    <row r="215" s="78" customFormat="1"/>
    <row r="216" s="78" customFormat="1"/>
    <row r="217" s="78" customFormat="1"/>
    <row r="218" s="78" customFormat="1"/>
    <row r="219" s="78" customFormat="1"/>
    <row r="220" s="78" customFormat="1"/>
    <row r="221" s="78" customFormat="1"/>
    <row r="222" s="78" customFormat="1"/>
    <row r="223" s="78" customFormat="1"/>
    <row r="224" s="78" customFormat="1"/>
    <row r="225" s="78" customFormat="1"/>
    <row r="226" s="78" customFormat="1"/>
    <row r="227" s="78" customFormat="1"/>
    <row r="228" s="78" customFormat="1"/>
    <row r="229" s="78" customFormat="1"/>
    <row r="230" s="78" customFormat="1"/>
    <row r="231" s="78" customFormat="1"/>
    <row r="232" s="78" customFormat="1"/>
    <row r="233" s="78" customFormat="1"/>
    <row r="234" s="78" customFormat="1"/>
    <row r="235" s="78" customFormat="1"/>
    <row r="236" s="78" customFormat="1"/>
    <row r="237" s="78" customFormat="1"/>
    <row r="238" s="78" customFormat="1"/>
    <row r="239" s="78" customFormat="1"/>
    <row r="240" s="78" customFormat="1"/>
    <row r="241" s="78" customFormat="1"/>
    <row r="242" s="78" customFormat="1"/>
    <row r="243" s="78" customFormat="1"/>
    <row r="244" s="78" customFormat="1"/>
    <row r="245" s="78" customFormat="1"/>
    <row r="246" s="78" customFormat="1"/>
    <row r="247" s="78" customFormat="1"/>
    <row r="248" s="78" customFormat="1"/>
    <row r="249" s="78" customFormat="1"/>
    <row r="250" s="78" customFormat="1"/>
    <row r="251" s="78" customFormat="1"/>
    <row r="252" s="78" customFormat="1"/>
    <row r="253" s="78" customFormat="1"/>
    <row r="254" s="78" customFormat="1"/>
    <row r="255" s="78" customFormat="1"/>
    <row r="256" s="78" customFormat="1"/>
    <row r="257" s="78" customFormat="1"/>
    <row r="258" s="78" customFormat="1"/>
    <row r="259" s="78" customFormat="1"/>
    <row r="260" s="78" customFormat="1"/>
    <row r="261" s="78" customFormat="1"/>
    <row r="262" s="78" customFormat="1"/>
    <row r="263" s="78" customFormat="1"/>
    <row r="264" s="78" customFormat="1"/>
    <row r="265" s="78" customFormat="1"/>
    <row r="266" s="78" customFormat="1"/>
    <row r="267" s="78" customFormat="1"/>
    <row r="268" s="78" customFormat="1"/>
    <row r="269" s="78" customFormat="1"/>
    <row r="270" s="78" customFormat="1"/>
    <row r="271" s="78" customFormat="1"/>
    <row r="272" s="78" customFormat="1"/>
    <row r="273" s="78" customFormat="1"/>
    <row r="274" s="78" customFormat="1"/>
    <row r="275" s="78" customFormat="1"/>
    <row r="276" s="78" customFormat="1"/>
    <row r="277" s="78" customFormat="1"/>
    <row r="278" s="78" customFormat="1"/>
    <row r="279" s="78" customFormat="1"/>
    <row r="280" s="78" customFormat="1"/>
    <row r="281" s="78" customFormat="1"/>
    <row r="282" s="78" customFormat="1"/>
    <row r="283" s="78" customFormat="1"/>
    <row r="284" s="78" customFormat="1"/>
    <row r="285" s="78" customFormat="1"/>
    <row r="286" s="78" customFormat="1"/>
    <row r="287" s="78" customFormat="1"/>
    <row r="288" s="78" customFormat="1"/>
    <row r="289" s="78" customFormat="1"/>
    <row r="290" s="78" customFormat="1"/>
    <row r="291" s="78" customFormat="1"/>
    <row r="292" s="78" customFormat="1"/>
    <row r="293" s="78" customFormat="1"/>
    <row r="294" s="78" customFormat="1"/>
    <row r="295" s="78" customFormat="1"/>
    <row r="296" s="78" customFormat="1"/>
    <row r="297" s="78" customFormat="1"/>
    <row r="298" s="78" customFormat="1"/>
    <row r="299" s="78" customFormat="1"/>
    <row r="300" s="78" customFormat="1"/>
    <row r="301" s="78" customFormat="1"/>
    <row r="302" s="78" customFormat="1"/>
    <row r="303" s="78" customFormat="1"/>
    <row r="304" s="78" customFormat="1"/>
    <row r="305" s="78" customFormat="1"/>
    <row r="306" s="78" customFormat="1"/>
    <row r="307" s="78" customFormat="1"/>
    <row r="308" s="78" customFormat="1"/>
    <row r="309" s="78" customFormat="1"/>
    <row r="310" s="78" customFormat="1"/>
    <row r="311" s="78" customFormat="1"/>
    <row r="312" s="78" customFormat="1"/>
    <row r="313" s="78" customFormat="1"/>
    <row r="314" s="78" customFormat="1"/>
    <row r="315" s="78" customFormat="1"/>
    <row r="316" s="78" customFormat="1"/>
    <row r="317" s="78" customFormat="1"/>
    <row r="318" s="78" customFormat="1"/>
    <row r="319" s="78" customFormat="1"/>
    <row r="320" s="78" customFormat="1"/>
    <row r="321" s="78" customFormat="1"/>
    <row r="322" s="78" customFormat="1"/>
    <row r="323" s="78" customFormat="1"/>
    <row r="324" s="78" customFormat="1"/>
    <row r="325" s="78" customFormat="1"/>
    <row r="326" s="78" customFormat="1"/>
    <row r="327" s="78" customFormat="1"/>
    <row r="328" s="78" customFormat="1"/>
    <row r="329" s="78" customFormat="1"/>
    <row r="330" s="78" customFormat="1"/>
    <row r="331" s="78" customFormat="1"/>
    <row r="332" s="78" customFormat="1"/>
    <row r="333" s="78" customFormat="1"/>
    <row r="334" s="78" customFormat="1"/>
    <row r="335" s="78" customFormat="1"/>
    <row r="336" s="78" customFormat="1"/>
    <row r="337" s="78" customFormat="1"/>
    <row r="338" s="78" customFormat="1"/>
    <row r="339" s="78" customFormat="1"/>
    <row r="340" s="78" customFormat="1"/>
    <row r="341" s="78" customFormat="1"/>
    <row r="342" s="78" customFormat="1"/>
    <row r="343" s="78" customFormat="1"/>
    <row r="344" s="78" customFormat="1"/>
    <row r="345" s="78" customFormat="1"/>
    <row r="346" s="78" customFormat="1"/>
    <row r="347" s="78" customFormat="1"/>
    <row r="348" s="78" customFormat="1"/>
    <row r="349" s="78" customFormat="1"/>
    <row r="350" s="78" customFormat="1"/>
    <row r="351" s="78" customFormat="1"/>
    <row r="352" s="78" customFormat="1"/>
    <row r="353" s="78" customFormat="1"/>
    <row r="354" s="78" customFormat="1"/>
    <row r="355" s="78" customFormat="1"/>
    <row r="356" s="78" customFormat="1"/>
    <row r="357" s="78" customFormat="1"/>
    <row r="358" s="78" customFormat="1"/>
    <row r="359" s="78" customFormat="1"/>
    <row r="360" s="78" customFormat="1"/>
    <row r="361" s="78" customFormat="1"/>
    <row r="362" s="78" customFormat="1"/>
    <row r="363" s="78" customFormat="1"/>
    <row r="364" s="78" customFormat="1"/>
    <row r="365" s="78" customFormat="1"/>
    <row r="366" s="78" customFormat="1"/>
    <row r="367" s="78" customFormat="1"/>
    <row r="368" s="78" customFormat="1"/>
    <row r="369" s="78" customFormat="1"/>
    <row r="370" s="78" customFormat="1"/>
    <row r="371" s="78" customFormat="1"/>
    <row r="372" s="78" customFormat="1"/>
    <row r="373" s="78" customFormat="1"/>
    <row r="374" s="78" customFormat="1"/>
    <row r="375" s="78" customFormat="1"/>
    <row r="376" s="78" customFormat="1"/>
    <row r="377" s="78" customFormat="1"/>
    <row r="378" s="78" customFormat="1"/>
    <row r="379" s="78" customFormat="1"/>
    <row r="380" s="78" customFormat="1"/>
    <row r="381" s="78" customFormat="1"/>
    <row r="382" s="78" customFormat="1"/>
    <row r="383" s="78" customFormat="1"/>
    <row r="384" s="78" customFormat="1"/>
    <row r="385" s="78" customFormat="1"/>
    <row r="386" s="78" customFormat="1"/>
    <row r="387" s="78" customFormat="1"/>
    <row r="388" s="78" customFormat="1"/>
    <row r="389" s="78" customFormat="1"/>
    <row r="390" s="78" customFormat="1"/>
    <row r="391" s="78" customFormat="1"/>
    <row r="392" s="78" customFormat="1"/>
    <row r="393" s="78" customFormat="1"/>
    <row r="394" s="78" customFormat="1"/>
    <row r="395" s="78" customFormat="1"/>
    <row r="396" s="78" customFormat="1"/>
    <row r="397" s="78" customFormat="1"/>
    <row r="398" s="78" customFormat="1"/>
    <row r="399" s="78" customFormat="1"/>
    <row r="400" s="78" customFormat="1"/>
    <row r="401" s="78" customFormat="1"/>
    <row r="402" s="78" customFormat="1"/>
    <row r="403" s="78" customFormat="1"/>
    <row r="404" s="78" customFormat="1"/>
    <row r="405" s="78" customFormat="1"/>
    <row r="406" s="78" customFormat="1"/>
    <row r="407" s="78" customFormat="1"/>
    <row r="408" s="78" customFormat="1"/>
    <row r="409" s="78" customFormat="1"/>
    <row r="410" s="78" customFormat="1"/>
    <row r="411" s="78" customFormat="1"/>
    <row r="412" s="78" customFormat="1"/>
    <row r="413" s="78" customFormat="1"/>
    <row r="414" s="78" customFormat="1"/>
    <row r="415" s="78" customFormat="1"/>
    <row r="416" s="78" customFormat="1"/>
    <row r="417" s="78" customFormat="1"/>
    <row r="418" s="78" customFormat="1"/>
    <row r="419" s="78" customFormat="1"/>
    <row r="420" s="78" customFormat="1"/>
    <row r="421" s="78" customFormat="1"/>
    <row r="422" s="78" customFormat="1"/>
    <row r="423" s="78" customFormat="1"/>
    <row r="424" s="78" customFormat="1"/>
    <row r="425" s="78" customFormat="1"/>
    <row r="426" s="78" customFormat="1"/>
    <row r="427" s="78" customFormat="1"/>
    <row r="428" s="78" customFormat="1"/>
    <row r="429" s="78" customFormat="1"/>
    <row r="430" s="78" customFormat="1"/>
    <row r="431" s="78" customFormat="1"/>
    <row r="432" s="78" customFormat="1"/>
    <row r="433" s="78" customFormat="1"/>
    <row r="434" s="78" customFormat="1"/>
    <row r="435" s="78" customFormat="1"/>
    <row r="436" s="78" customFormat="1"/>
    <row r="437" s="78" customFormat="1"/>
    <row r="438" s="78" customFormat="1"/>
    <row r="439" s="78" customFormat="1"/>
    <row r="440" s="78" customFormat="1"/>
    <row r="441" s="78" customFormat="1"/>
    <row r="442" s="78" customFormat="1"/>
    <row r="443" s="78" customFormat="1"/>
    <row r="444" s="78" customFormat="1"/>
    <row r="445" s="78" customFormat="1"/>
    <row r="446" s="78" customFormat="1"/>
    <row r="447" s="78" customFormat="1"/>
    <row r="448" s="78" customFormat="1"/>
    <row r="449" s="78" customFormat="1"/>
    <row r="450" s="78" customFormat="1"/>
    <row r="451" s="78" customFormat="1"/>
    <row r="452" s="78" customFormat="1"/>
    <row r="453" s="78" customFormat="1"/>
    <row r="454" s="78" customFormat="1"/>
    <row r="455" s="78" customFormat="1"/>
    <row r="456" s="78" customFormat="1"/>
    <row r="457" s="78" customFormat="1"/>
    <row r="458" s="78" customFormat="1"/>
    <row r="459" s="78" customFormat="1"/>
    <row r="460" s="78" customFormat="1"/>
    <row r="461" s="78" customFormat="1"/>
    <row r="462" s="78" customFormat="1"/>
    <row r="463" s="78" customFormat="1"/>
    <row r="464" s="78" customFormat="1"/>
    <row r="465" s="78" customFormat="1"/>
    <row r="466" s="78" customFormat="1"/>
    <row r="467" s="78" customFormat="1"/>
    <row r="468" s="78" customFormat="1"/>
    <row r="469" s="78" customFormat="1"/>
    <row r="470" s="78" customFormat="1"/>
    <row r="471" s="78" customFormat="1"/>
    <row r="472" s="78" customFormat="1"/>
    <row r="473" s="78" customFormat="1"/>
    <row r="474" s="78" customFormat="1"/>
    <row r="475" s="78" customFormat="1"/>
    <row r="476" s="78" customFormat="1"/>
    <row r="477" s="78" customFormat="1"/>
    <row r="478" s="78" customFormat="1"/>
    <row r="479" s="78" customFormat="1"/>
    <row r="480" s="78" customFormat="1"/>
    <row r="481" s="78" customFormat="1"/>
    <row r="482" s="78" customFormat="1"/>
    <row r="483" s="78" customFormat="1"/>
    <row r="484" s="78" customFormat="1"/>
    <row r="485" s="78" customFormat="1"/>
    <row r="486" s="78" customFormat="1"/>
    <row r="487" s="78" customFormat="1"/>
    <row r="488" s="78" customFormat="1"/>
    <row r="489" s="78" customFormat="1"/>
    <row r="490" s="78" customFormat="1"/>
    <row r="491" s="78" customFormat="1"/>
    <row r="492" s="78" customFormat="1"/>
    <row r="493" s="78" customFormat="1"/>
    <row r="494" s="78" customFormat="1"/>
    <row r="495" s="78" customFormat="1"/>
    <row r="496" s="78" customFormat="1"/>
    <row r="497" s="78" customFormat="1"/>
    <row r="498" s="78" customFormat="1"/>
    <row r="499" s="78" customFormat="1"/>
    <row r="500" s="78" customFormat="1"/>
    <row r="501" s="78" customFormat="1"/>
    <row r="502" s="78" customFormat="1"/>
    <row r="503" s="78" customFormat="1"/>
    <row r="504" s="78" customFormat="1"/>
    <row r="505" s="78" customFormat="1"/>
    <row r="506" s="78" customFormat="1"/>
    <row r="507" s="78" customFormat="1"/>
    <row r="508" s="78" customFormat="1"/>
    <row r="509" s="78" customFormat="1"/>
    <row r="510" s="78" customFormat="1"/>
    <row r="511" s="78" customFormat="1"/>
    <row r="512" s="78" customFormat="1"/>
    <row r="513" s="78" customFormat="1"/>
    <row r="514" s="78" customFormat="1"/>
    <row r="515" s="78" customFormat="1"/>
    <row r="516" s="78" customFormat="1"/>
    <row r="517" s="78" customFormat="1"/>
    <row r="518" s="78" customFormat="1"/>
    <row r="519" s="78" customFormat="1"/>
    <row r="520" s="78" customFormat="1"/>
    <row r="521" s="78" customFormat="1"/>
    <row r="522" s="78" customFormat="1"/>
    <row r="523" s="78" customFormat="1"/>
    <row r="524" s="78" customFormat="1"/>
    <row r="525" s="78" customFormat="1"/>
    <row r="526" s="78" customFormat="1"/>
    <row r="527" s="78" customFormat="1"/>
    <row r="528" s="78" customFormat="1"/>
    <row r="529" s="78" customFormat="1"/>
    <row r="530" s="78" customFormat="1"/>
    <row r="531" s="78" customFormat="1"/>
    <row r="532" s="78" customFormat="1"/>
    <row r="533" s="78" customFormat="1"/>
    <row r="534" s="78" customFormat="1"/>
    <row r="535" s="78" customFormat="1"/>
    <row r="536" s="78" customFormat="1"/>
    <row r="537" s="78" customFormat="1"/>
    <row r="538" s="78" customFormat="1"/>
    <row r="539" s="78" customFormat="1"/>
    <row r="540" s="78" customFormat="1"/>
    <row r="541" s="78" customFormat="1"/>
    <row r="542" s="78" customFormat="1"/>
    <row r="543" s="78" customFormat="1"/>
    <row r="544" s="78" customFormat="1"/>
    <row r="545" s="78" customFormat="1"/>
    <row r="546" s="78" customFormat="1"/>
    <row r="547" s="78" customFormat="1"/>
    <row r="548" s="78" customFormat="1"/>
    <row r="549" s="78" customFormat="1"/>
    <row r="550" s="78" customFormat="1"/>
    <row r="551" s="78" customFormat="1"/>
    <row r="552" s="78" customFormat="1"/>
    <row r="553" s="78" customFormat="1"/>
    <row r="554" s="78" customFormat="1"/>
    <row r="555" s="78" customFormat="1"/>
    <row r="556" s="78" customFormat="1"/>
    <row r="557" s="78" customFormat="1"/>
    <row r="558" s="78" customFormat="1"/>
    <row r="559" s="78" customFormat="1"/>
    <row r="560" s="78" customFormat="1"/>
    <row r="561" s="78" customFormat="1"/>
    <row r="562" s="78" customFormat="1"/>
    <row r="563" s="78" customFormat="1"/>
    <row r="564" s="78" customFormat="1"/>
    <row r="565" s="78" customFormat="1"/>
    <row r="566" s="78" customFormat="1"/>
    <row r="567" s="78" customFormat="1"/>
    <row r="568" s="78" customFormat="1"/>
    <row r="569" s="78" customFormat="1"/>
    <row r="570" s="78" customFormat="1"/>
    <row r="571" s="78" customFormat="1"/>
    <row r="572" s="78" customFormat="1"/>
    <row r="573" s="78" customFormat="1"/>
    <row r="574" s="78" customFormat="1"/>
    <row r="575" s="78" customFormat="1"/>
    <row r="576" s="78" customFormat="1"/>
    <row r="577" s="78" customFormat="1"/>
    <row r="578" s="78" customFormat="1"/>
    <row r="579" s="78" customFormat="1"/>
    <row r="580" s="78" customFormat="1"/>
    <row r="581" s="78" customFormat="1"/>
    <row r="582" s="78" customFormat="1"/>
    <row r="583" s="78" customFormat="1"/>
    <row r="584" s="78" customFormat="1"/>
    <row r="585" s="78" customFormat="1"/>
    <row r="586" s="78" customFormat="1"/>
    <row r="587" s="78" customFormat="1"/>
    <row r="588" s="78" customFormat="1"/>
    <row r="589" s="78" customFormat="1"/>
    <row r="590" s="78" customFormat="1"/>
    <row r="591" s="78" customFormat="1"/>
    <row r="592" s="78" customFormat="1"/>
    <row r="593" s="78" customFormat="1"/>
    <row r="594" s="78" customFormat="1"/>
    <row r="595" s="78" customFormat="1"/>
    <row r="596" s="78" customFormat="1"/>
    <row r="597" s="78" customFormat="1"/>
    <row r="598" s="78" customFormat="1"/>
    <row r="599" s="78" customFormat="1"/>
    <row r="600" s="78" customFormat="1"/>
    <row r="601" s="78" customFormat="1"/>
    <row r="602" s="78" customFormat="1"/>
    <row r="603" s="78" customFormat="1"/>
    <row r="604" s="78" customFormat="1"/>
    <row r="605" s="78" customFormat="1"/>
    <row r="606" s="78" customFormat="1"/>
    <row r="607" s="78" customFormat="1"/>
    <row r="608" s="78" customFormat="1"/>
    <row r="609" s="78" customFormat="1"/>
    <row r="610" s="78" customFormat="1"/>
    <row r="611" s="78" customFormat="1"/>
    <row r="612" s="78" customFormat="1"/>
    <row r="613" s="78" customFormat="1"/>
    <row r="614" s="78" customFormat="1"/>
    <row r="615" s="78" customFormat="1"/>
    <row r="616" s="78" customFormat="1"/>
    <row r="617" s="78" customFormat="1"/>
    <row r="618" s="78" customFormat="1"/>
    <row r="619" s="78" customFormat="1"/>
    <row r="620" s="78" customFormat="1"/>
    <row r="621" s="78" customFormat="1"/>
    <row r="622" s="78" customFormat="1"/>
    <row r="623" s="78" customFormat="1"/>
    <row r="624" s="78" customFormat="1"/>
    <row r="625" s="78" customFormat="1"/>
    <row r="626" s="78" customFormat="1"/>
    <row r="627" s="78" customFormat="1"/>
    <row r="628" s="78" customFormat="1"/>
    <row r="629" s="78" customFormat="1"/>
    <row r="630" s="78" customFormat="1"/>
    <row r="631" s="78" customFormat="1"/>
    <row r="632" s="78" customFormat="1"/>
    <row r="633" s="78" customFormat="1"/>
    <row r="634" s="78" customFormat="1"/>
    <row r="635" s="78" customFormat="1"/>
  </sheetData>
  <sheetProtection algorithmName="SHA-512" hashValue="WDu44tdSMtcDM6nSDPHjmUM32L8bDFd/idhczT2Ncc8U/wNAxbfKF4d4t487zP8dtTyDwWcgBFt/w7ylERhV+w==" saltValue="OYpzDE9pjNWM02lgxJQaPw==" spinCount="100000" sheet="1" objects="1" scenarios="1"/>
  <mergeCells count="132">
    <mergeCell ref="H23:K23"/>
    <mergeCell ref="B20:C20"/>
    <mergeCell ref="B25:C25"/>
    <mergeCell ref="D25:G25"/>
    <mergeCell ref="H25:K25"/>
    <mergeCell ref="B29:C29"/>
    <mergeCell ref="D29:G29"/>
    <mergeCell ref="H29:K29"/>
    <mergeCell ref="B24:C24"/>
    <mergeCell ref="H24:K24"/>
    <mergeCell ref="B28:C28"/>
    <mergeCell ref="A27:K27"/>
    <mergeCell ref="A13:K13"/>
    <mergeCell ref="B16:C16"/>
    <mergeCell ref="B36:C36"/>
    <mergeCell ref="B14:C15"/>
    <mergeCell ref="H26:K26"/>
    <mergeCell ref="H31:K31"/>
    <mergeCell ref="B31:C31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17:C17"/>
    <mergeCell ref="D16:E16"/>
    <mergeCell ref="D18:E18"/>
    <mergeCell ref="E2:G2"/>
    <mergeCell ref="B23:C23"/>
    <mergeCell ref="B21:C21"/>
    <mergeCell ref="D20:E20"/>
    <mergeCell ref="A22:K22"/>
    <mergeCell ref="E7:G7"/>
    <mergeCell ref="E8:G8"/>
    <mergeCell ref="E9:G9"/>
    <mergeCell ref="E11:G11"/>
    <mergeCell ref="E12:G12"/>
    <mergeCell ref="D23:G23"/>
    <mergeCell ref="D19:E19"/>
    <mergeCell ref="D17:E17"/>
    <mergeCell ref="D14:E15"/>
    <mergeCell ref="F14:G14"/>
    <mergeCell ref="F16:G16"/>
    <mergeCell ref="I9:K9"/>
    <mergeCell ref="I10:K10"/>
    <mergeCell ref="B10:C10"/>
    <mergeCell ref="E10:G10"/>
    <mergeCell ref="B18:C18"/>
    <mergeCell ref="H14:I14"/>
    <mergeCell ref="B8:C8"/>
    <mergeCell ref="I12:K12"/>
    <mergeCell ref="H45:K45"/>
    <mergeCell ref="B43:C43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21:E21"/>
    <mergeCell ref="J14:K14"/>
    <mergeCell ref="H16:I16"/>
    <mergeCell ref="B19:C19"/>
    <mergeCell ref="E1:G1"/>
    <mergeCell ref="I7:K7"/>
    <mergeCell ref="I8:K8"/>
    <mergeCell ref="I11:K11"/>
    <mergeCell ref="B9:C9"/>
    <mergeCell ref="B11:C11"/>
    <mergeCell ref="J16:K16"/>
    <mergeCell ref="B12:C12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E6:G6"/>
    <mergeCell ref="B2:C2"/>
    <mergeCell ref="B3:C3"/>
    <mergeCell ref="B33:C33"/>
    <mergeCell ref="H38:K38"/>
    <mergeCell ref="H36:K36"/>
    <mergeCell ref="D44:G44"/>
    <mergeCell ref="B37:C37"/>
    <mergeCell ref="B38:C38"/>
    <mergeCell ref="D34:G34"/>
    <mergeCell ref="D35:G35"/>
    <mergeCell ref="D36:G36"/>
    <mergeCell ref="D37:G37"/>
    <mergeCell ref="D38:G38"/>
    <mergeCell ref="D40:G40"/>
    <mergeCell ref="D41:G41"/>
    <mergeCell ref="D42:G42"/>
    <mergeCell ref="D43:G43"/>
    <mergeCell ref="A39:K39"/>
    <mergeCell ref="B34:C34"/>
    <mergeCell ref="B35:C35"/>
    <mergeCell ref="H37:K37"/>
    <mergeCell ref="A14:A16"/>
    <mergeCell ref="B7:C7"/>
  </mergeCells>
  <phoneticPr fontId="11" type="noConversion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1"/>
  <sheetViews>
    <sheetView showZeros="0" workbookViewId="0">
      <selection activeCell="A22" sqref="A22:J22"/>
    </sheetView>
  </sheetViews>
  <sheetFormatPr defaultColWidth="9.140625" defaultRowHeight="12.75"/>
  <cols>
    <col min="1" max="1" width="11.140625" style="24" customWidth="1"/>
    <col min="2" max="2" width="20.42578125" style="24" customWidth="1"/>
    <col min="3" max="3" width="14.140625" style="24" customWidth="1"/>
    <col min="4" max="4" width="4.85546875" style="24" customWidth="1"/>
    <col min="5" max="5" width="11.85546875" style="24" customWidth="1"/>
    <col min="6" max="6" width="11" style="24" customWidth="1"/>
    <col min="7" max="7" width="3.140625" style="24" customWidth="1"/>
    <col min="8" max="8" width="6.7109375" style="24" customWidth="1"/>
    <col min="9" max="9" width="10.28515625" style="24" customWidth="1"/>
    <col min="10" max="11" width="6.7109375" style="24" customWidth="1"/>
    <col min="12" max="16384" width="9.140625" style="23"/>
  </cols>
  <sheetData>
    <row r="1" spans="1:11">
      <c r="A1" s="1211" t="s">
        <v>3491</v>
      </c>
      <c r="B1" s="1212"/>
      <c r="C1" s="1212"/>
      <c r="D1" s="1212"/>
      <c r="E1" s="1212"/>
      <c r="F1" s="1212"/>
      <c r="G1" s="1212"/>
      <c r="H1" s="1212"/>
      <c r="I1" s="1212"/>
      <c r="J1" s="1212"/>
      <c r="K1" s="1212"/>
    </row>
    <row r="2" spans="1:11" ht="14.1" customHeight="1" thickBot="1">
      <c r="A2" s="1213" t="s">
        <v>3492</v>
      </c>
      <c r="B2" s="1214"/>
      <c r="C2" s="1214"/>
      <c r="D2" s="1214"/>
      <c r="E2" s="1214"/>
      <c r="F2" s="1214"/>
      <c r="G2" s="1214"/>
      <c r="H2" s="1214"/>
      <c r="I2" s="1214"/>
      <c r="J2" s="1214"/>
      <c r="K2" s="1214"/>
    </row>
    <row r="3" spans="1:11" ht="15" customHeight="1">
      <c r="A3" s="1215" t="s">
        <v>135</v>
      </c>
      <c r="B3" s="1216"/>
      <c r="C3" s="1216"/>
      <c r="D3" s="1216"/>
      <c r="E3" s="1216"/>
      <c r="F3" s="1216"/>
      <c r="G3" s="1216"/>
      <c r="H3" s="1216"/>
      <c r="I3" s="1216"/>
      <c r="J3" s="1217"/>
      <c r="K3" s="215"/>
    </row>
    <row r="4" spans="1:11" ht="15" customHeight="1">
      <c r="A4" s="1182" t="s">
        <v>3494</v>
      </c>
      <c r="B4" s="1183"/>
      <c r="C4" s="1183"/>
      <c r="D4" s="1183"/>
      <c r="E4" s="1183"/>
      <c r="F4" s="1183"/>
      <c r="G4" s="1183"/>
      <c r="H4" s="1183"/>
      <c r="I4" s="1184"/>
      <c r="J4" s="1185"/>
      <c r="K4" s="213"/>
    </row>
    <row r="5" spans="1:11" ht="15" customHeight="1">
      <c r="A5" s="1182" t="s">
        <v>3625</v>
      </c>
      <c r="B5" s="1183"/>
      <c r="C5" s="1183"/>
      <c r="D5" s="1183"/>
      <c r="E5" s="1183"/>
      <c r="F5" s="1183"/>
      <c r="G5" s="1183"/>
      <c r="H5" s="1183"/>
      <c r="I5" s="1184"/>
      <c r="J5" s="1185"/>
      <c r="K5" s="213"/>
    </row>
    <row r="6" spans="1:11" ht="15" customHeight="1">
      <c r="A6" s="1182" t="s">
        <v>3493</v>
      </c>
      <c r="B6" s="1183"/>
      <c r="C6" s="1183"/>
      <c r="D6" s="1183"/>
      <c r="E6" s="1183"/>
      <c r="F6" s="1183"/>
      <c r="G6" s="1183"/>
      <c r="H6" s="1183"/>
      <c r="I6" s="1184"/>
      <c r="J6" s="1185"/>
      <c r="K6" s="213"/>
    </row>
    <row r="7" spans="1:11" ht="15" customHeight="1">
      <c r="A7" s="1236" t="s">
        <v>3853</v>
      </c>
      <c r="B7" s="1268"/>
      <c r="C7" s="1268"/>
      <c r="D7" s="1268"/>
      <c r="E7" s="1268"/>
      <c r="F7" s="1268"/>
      <c r="G7" s="1268"/>
      <c r="H7" s="1268"/>
      <c r="I7" s="1269"/>
      <c r="J7" s="1270"/>
      <c r="K7" s="213"/>
    </row>
    <row r="8" spans="1:11" ht="15" customHeight="1">
      <c r="A8" s="1182" t="s">
        <v>241</v>
      </c>
      <c r="B8" s="1183"/>
      <c r="C8" s="1183"/>
      <c r="D8" s="1183"/>
      <c r="E8" s="1183"/>
      <c r="F8" s="1183"/>
      <c r="G8" s="1183"/>
      <c r="H8" s="1183"/>
      <c r="I8" s="1184"/>
      <c r="J8" s="1185"/>
      <c r="K8" s="213"/>
    </row>
    <row r="9" spans="1:11" ht="24" customHeight="1">
      <c r="A9" s="1182" t="s">
        <v>3495</v>
      </c>
      <c r="B9" s="1183"/>
      <c r="C9" s="1183"/>
      <c r="D9" s="1183"/>
      <c r="E9" s="1183"/>
      <c r="F9" s="1183"/>
      <c r="G9" s="1183"/>
      <c r="H9" s="1183"/>
      <c r="I9" s="1184"/>
      <c r="J9" s="1185"/>
      <c r="K9" s="213"/>
    </row>
    <row r="10" spans="1:11" ht="15" customHeight="1">
      <c r="A10" s="1182" t="s">
        <v>74</v>
      </c>
      <c r="B10" s="1183"/>
      <c r="C10" s="1183"/>
      <c r="D10" s="1183"/>
      <c r="E10" s="1183"/>
      <c r="F10" s="1183"/>
      <c r="G10" s="1183"/>
      <c r="H10" s="1183"/>
      <c r="I10" s="1184"/>
      <c r="J10" s="1185"/>
      <c r="K10" s="213"/>
    </row>
    <row r="11" spans="1:11" ht="15" customHeight="1">
      <c r="A11" s="1182" t="s">
        <v>3626</v>
      </c>
      <c r="B11" s="1183"/>
      <c r="C11" s="1183"/>
      <c r="D11" s="1183"/>
      <c r="E11" s="1183"/>
      <c r="F11" s="1183"/>
      <c r="G11" s="1183"/>
      <c r="H11" s="1183"/>
      <c r="I11" s="1184"/>
      <c r="J11" s="1185"/>
      <c r="K11" s="213"/>
    </row>
    <row r="12" spans="1:11" ht="15" customHeight="1">
      <c r="A12" s="1182" t="s">
        <v>3627</v>
      </c>
      <c r="B12" s="1183"/>
      <c r="C12" s="1183"/>
      <c r="D12" s="1183"/>
      <c r="E12" s="1183"/>
      <c r="F12" s="1183"/>
      <c r="G12" s="1183"/>
      <c r="H12" s="1183"/>
      <c r="I12" s="1184"/>
      <c r="J12" s="1185"/>
      <c r="K12" s="213"/>
    </row>
    <row r="13" spans="1:11" ht="15" customHeight="1">
      <c r="A13" s="1182" t="s">
        <v>3628</v>
      </c>
      <c r="B13" s="1183"/>
      <c r="C13" s="1183"/>
      <c r="D13" s="1183"/>
      <c r="E13" s="1183"/>
      <c r="F13" s="1183"/>
      <c r="G13" s="1183"/>
      <c r="H13" s="1183"/>
      <c r="I13" s="1184"/>
      <c r="J13" s="1185"/>
      <c r="K13" s="213"/>
    </row>
    <row r="14" spans="1:11" ht="15" customHeight="1">
      <c r="A14" s="1182" t="s">
        <v>3629</v>
      </c>
      <c r="B14" s="1183"/>
      <c r="C14" s="1183"/>
      <c r="D14" s="1183"/>
      <c r="E14" s="1183"/>
      <c r="F14" s="1183"/>
      <c r="G14" s="1183"/>
      <c r="H14" s="1183"/>
      <c r="I14" s="1184"/>
      <c r="J14" s="1185"/>
      <c r="K14" s="213"/>
    </row>
    <row r="15" spans="1:11" ht="15" customHeight="1">
      <c r="A15" s="1182" t="s">
        <v>3630</v>
      </c>
      <c r="B15" s="1183"/>
      <c r="C15" s="1183"/>
      <c r="D15" s="1183"/>
      <c r="E15" s="1183"/>
      <c r="F15" s="1183"/>
      <c r="G15" s="1183"/>
      <c r="H15" s="1183"/>
      <c r="I15" s="1184"/>
      <c r="J15" s="1185"/>
      <c r="K15" s="213"/>
    </row>
    <row r="16" spans="1:11" ht="15" customHeight="1">
      <c r="A16" s="1182" t="s">
        <v>3576</v>
      </c>
      <c r="B16" s="1183"/>
      <c r="C16" s="1183"/>
      <c r="D16" s="1183"/>
      <c r="E16" s="1183"/>
      <c r="F16" s="1183"/>
      <c r="G16" s="1183"/>
      <c r="H16" s="1183"/>
      <c r="I16" s="1184"/>
      <c r="J16" s="1185"/>
      <c r="K16" s="213"/>
    </row>
    <row r="17" spans="1:11" ht="15" customHeight="1">
      <c r="A17" s="1182" t="s">
        <v>212</v>
      </c>
      <c r="B17" s="1183"/>
      <c r="C17" s="1183"/>
      <c r="D17" s="1183"/>
      <c r="E17" s="1183"/>
      <c r="F17" s="1183"/>
      <c r="G17" s="1183"/>
      <c r="H17" s="1183"/>
      <c r="I17" s="1184"/>
      <c r="J17" s="1185"/>
      <c r="K17" s="213"/>
    </row>
    <row r="18" spans="1:11" ht="15" customHeight="1">
      <c r="A18" s="1182" t="s">
        <v>3730</v>
      </c>
      <c r="B18" s="1183"/>
      <c r="C18" s="1183"/>
      <c r="D18" s="1183"/>
      <c r="E18" s="1183"/>
      <c r="F18" s="1183"/>
      <c r="G18" s="1183"/>
      <c r="H18" s="1183"/>
      <c r="I18" s="1184"/>
      <c r="J18" s="1185"/>
      <c r="K18" s="213"/>
    </row>
    <row r="19" spans="1:11" ht="15" customHeight="1">
      <c r="A19" s="1182" t="s">
        <v>75</v>
      </c>
      <c r="B19" s="1183"/>
      <c r="C19" s="1183"/>
      <c r="D19" s="1183"/>
      <c r="E19" s="1183"/>
      <c r="F19" s="1183"/>
      <c r="G19" s="1183"/>
      <c r="H19" s="1183"/>
      <c r="I19" s="1184"/>
      <c r="J19" s="1185"/>
      <c r="K19" s="213"/>
    </row>
    <row r="20" spans="1:11" ht="15" customHeight="1">
      <c r="A20" s="1182" t="s">
        <v>76</v>
      </c>
      <c r="B20" s="1183"/>
      <c r="C20" s="1183"/>
      <c r="D20" s="1183"/>
      <c r="E20" s="1183"/>
      <c r="F20" s="1183"/>
      <c r="G20" s="1183"/>
      <c r="H20" s="1183"/>
      <c r="I20" s="1184"/>
      <c r="J20" s="1185"/>
      <c r="K20" s="213"/>
    </row>
    <row r="21" spans="1:11" ht="15" customHeight="1">
      <c r="A21" s="1182" t="s">
        <v>291</v>
      </c>
      <c r="B21" s="1183"/>
      <c r="C21" s="1183"/>
      <c r="D21" s="1183"/>
      <c r="E21" s="1183"/>
      <c r="F21" s="1183"/>
      <c r="G21" s="1183"/>
      <c r="H21" s="1183"/>
      <c r="I21" s="1184"/>
      <c r="J21" s="1185"/>
      <c r="K21" s="213"/>
    </row>
    <row r="22" spans="1:11" ht="15" customHeight="1">
      <c r="A22" s="1236" t="s">
        <v>3798</v>
      </c>
      <c r="B22" s="1183"/>
      <c r="C22" s="1183"/>
      <c r="D22" s="1183"/>
      <c r="E22" s="1183"/>
      <c r="F22" s="1183"/>
      <c r="G22" s="1183"/>
      <c r="H22" s="1183"/>
      <c r="I22" s="1184"/>
      <c r="J22" s="1185"/>
      <c r="K22" s="213"/>
    </row>
    <row r="23" spans="1:11" ht="24" customHeight="1">
      <c r="A23" s="1236" t="s">
        <v>3799</v>
      </c>
      <c r="B23" s="1183"/>
      <c r="C23" s="1183"/>
      <c r="D23" s="1183"/>
      <c r="E23" s="1183"/>
      <c r="F23" s="1183"/>
      <c r="G23" s="1183"/>
      <c r="H23" s="1183"/>
      <c r="I23" s="1184"/>
      <c r="J23" s="1185"/>
      <c r="K23" s="213"/>
    </row>
    <row r="24" spans="1:11" ht="15" customHeight="1">
      <c r="A24" s="1182" t="s">
        <v>139</v>
      </c>
      <c r="B24" s="1183"/>
      <c r="C24" s="1183"/>
      <c r="D24" s="1183"/>
      <c r="E24" s="1183"/>
      <c r="F24" s="1183"/>
      <c r="G24" s="1183"/>
      <c r="H24" s="1183"/>
      <c r="I24" s="1184"/>
      <c r="J24" s="1185"/>
      <c r="K24" s="213"/>
    </row>
    <row r="25" spans="1:11" ht="15" customHeight="1" thickBot="1">
      <c r="A25" s="1232" t="s">
        <v>77</v>
      </c>
      <c r="B25" s="1233"/>
      <c r="C25" s="1233"/>
      <c r="D25" s="1233"/>
      <c r="E25" s="1233"/>
      <c r="F25" s="1233"/>
      <c r="G25" s="1233"/>
      <c r="H25" s="1233"/>
      <c r="I25" s="1234"/>
      <c r="J25" s="1235"/>
      <c r="K25" s="214">
        <f>SUM(K4:K24)</f>
        <v>0</v>
      </c>
    </row>
    <row r="26" spans="1:11" ht="12" customHeight="1" thickBot="1">
      <c r="A26" s="1274"/>
      <c r="B26" s="1274"/>
      <c r="C26" s="1274"/>
      <c r="D26" s="1274"/>
      <c r="E26" s="1274"/>
      <c r="F26" s="1274"/>
      <c r="G26" s="1274"/>
      <c r="H26" s="1274"/>
      <c r="I26" s="1274"/>
      <c r="J26" s="1274"/>
      <c r="K26" s="1274"/>
    </row>
    <row r="27" spans="1:11" ht="12" customHeight="1" thickBot="1">
      <c r="A27" s="1275"/>
      <c r="B27" s="789"/>
      <c r="C27" s="789"/>
      <c r="D27" s="789"/>
      <c r="E27" s="789"/>
      <c r="F27" s="789"/>
      <c r="G27" s="789"/>
      <c r="H27" s="789"/>
      <c r="I27" s="789"/>
      <c r="J27" s="789"/>
      <c r="K27" s="789"/>
    </row>
    <row r="28" spans="1:11" ht="14.1" customHeight="1">
      <c r="A28" s="1231" t="s">
        <v>3497</v>
      </c>
      <c r="B28" s="1061"/>
      <c r="C28" s="1276" t="s">
        <v>3496</v>
      </c>
      <c r="D28" s="1276"/>
      <c r="E28" s="1195"/>
      <c r="F28" s="1195"/>
      <c r="G28" s="1195"/>
      <c r="H28" s="1195"/>
      <c r="I28" s="1195"/>
      <c r="J28" s="1195"/>
      <c r="K28" s="1196"/>
    </row>
    <row r="29" spans="1:11" ht="18" customHeight="1">
      <c r="A29" s="1228"/>
      <c r="B29" s="1229"/>
      <c r="C29" s="1277"/>
      <c r="D29" s="1278"/>
      <c r="E29" s="843"/>
      <c r="F29" s="843"/>
      <c r="G29" s="843"/>
      <c r="H29" s="843"/>
      <c r="I29" s="843"/>
      <c r="J29" s="843"/>
      <c r="K29" s="1230"/>
    </row>
    <row r="30" spans="1:11" ht="14.1" customHeight="1">
      <c r="A30" s="1221" t="s">
        <v>292</v>
      </c>
      <c r="B30" s="1222"/>
      <c r="C30" s="1222"/>
      <c r="D30" s="1222"/>
      <c r="E30" s="1222"/>
      <c r="F30" s="1222"/>
      <c r="G30" s="1222"/>
      <c r="H30" s="1222"/>
      <c r="I30" s="1222"/>
      <c r="J30" s="1222"/>
      <c r="K30" s="1223"/>
    </row>
    <row r="31" spans="1:11" ht="18" customHeight="1">
      <c r="A31" s="1224" t="str">
        <f>+CONCATENATE(ZAKL_DATA!D21," ",ZAKL_DATA!D20," ",ZAKL_DATA!D22)</f>
        <v xml:space="preserve">  </v>
      </c>
      <c r="B31" s="1225"/>
      <c r="C31" s="1225"/>
      <c r="D31" s="1225"/>
      <c r="E31" s="1225"/>
      <c r="F31" s="1225"/>
      <c r="G31" s="1225"/>
      <c r="H31" s="1225"/>
      <c r="I31" s="1225"/>
      <c r="J31" s="1225"/>
      <c r="K31" s="1226"/>
    </row>
    <row r="32" spans="1:11" ht="14.1" customHeight="1">
      <c r="A32" s="1221" t="s">
        <v>34</v>
      </c>
      <c r="B32" s="1222"/>
      <c r="C32" s="1222"/>
      <c r="D32" s="1222"/>
      <c r="E32" s="1222"/>
      <c r="F32" s="1222"/>
      <c r="G32" s="1222"/>
      <c r="H32" s="1222"/>
      <c r="I32" s="1222"/>
      <c r="J32" s="1222"/>
      <c r="K32" s="1223"/>
    </row>
    <row r="33" spans="1:11" ht="18" customHeight="1">
      <c r="A33" s="1224"/>
      <c r="B33" s="1225"/>
      <c r="C33" s="1225"/>
      <c r="D33" s="1225"/>
      <c r="E33" s="1225"/>
      <c r="F33" s="1225"/>
      <c r="G33" s="1225"/>
      <c r="H33" s="1225"/>
      <c r="I33" s="1225"/>
      <c r="J33" s="1225"/>
      <c r="K33" s="1226"/>
    </row>
    <row r="34" spans="1:11" ht="14.1" customHeight="1">
      <c r="A34" s="1227" t="s">
        <v>3731</v>
      </c>
      <c r="B34" s="1222"/>
      <c r="C34" s="1222"/>
      <c r="D34" s="1222"/>
      <c r="E34" s="1222"/>
      <c r="F34" s="1222"/>
      <c r="G34" s="1222"/>
      <c r="H34" s="1222"/>
      <c r="I34" s="1222"/>
      <c r="J34" s="1222"/>
      <c r="K34" s="1223"/>
    </row>
    <row r="35" spans="1:11" ht="14.1" customHeight="1">
      <c r="A35" s="1227" t="s">
        <v>3498</v>
      </c>
      <c r="B35" s="1222"/>
      <c r="C35" s="1222"/>
      <c r="D35" s="1222"/>
      <c r="E35" s="1222"/>
      <c r="F35" s="1222"/>
      <c r="G35" s="1222"/>
      <c r="H35" s="1222"/>
      <c r="I35" s="1222"/>
      <c r="J35" s="1222"/>
      <c r="K35" s="1223"/>
    </row>
    <row r="36" spans="1:11" ht="14.1" customHeight="1">
      <c r="A36" s="1221" t="s">
        <v>293</v>
      </c>
      <c r="B36" s="1222"/>
      <c r="C36" s="1222"/>
      <c r="D36" s="1222"/>
      <c r="E36" s="1222"/>
      <c r="F36" s="1222"/>
      <c r="G36" s="1222"/>
      <c r="H36" s="1222"/>
      <c r="I36" s="1222"/>
      <c r="J36" s="1222"/>
      <c r="K36" s="1223"/>
    </row>
    <row r="37" spans="1:11" ht="18" customHeight="1">
      <c r="A37" s="1224" t="str">
        <f>+CONCATENATE(ZAKL_DATA!D21," ",ZAKL_DATA!D20," ",ZAKL_DATA!D22)</f>
        <v xml:space="preserve">  </v>
      </c>
      <c r="B37" s="1225"/>
      <c r="C37" s="1225"/>
      <c r="D37" s="1225"/>
      <c r="E37" s="1225"/>
      <c r="F37" s="1225"/>
      <c r="G37" s="1225"/>
      <c r="H37" s="1225"/>
      <c r="I37" s="1225"/>
      <c r="J37" s="1225"/>
      <c r="K37" s="1226"/>
    </row>
    <row r="38" spans="1:11" ht="5.0999999999999996" customHeight="1" thickBot="1">
      <c r="A38" s="1218"/>
      <c r="B38" s="1219"/>
      <c r="C38" s="1219"/>
      <c r="D38" s="1219"/>
      <c r="E38" s="1219"/>
      <c r="F38" s="1219"/>
      <c r="G38" s="1219"/>
      <c r="H38" s="1219"/>
      <c r="I38" s="1219"/>
      <c r="J38" s="1219"/>
      <c r="K38" s="1220"/>
    </row>
    <row r="39" spans="1:11" ht="5.0999999999999996" customHeight="1" thickBot="1">
      <c r="A39" s="1202"/>
      <c r="B39" s="1203"/>
      <c r="C39" s="1203"/>
      <c r="D39" s="1203"/>
      <c r="E39" s="1203"/>
      <c r="F39" s="1203"/>
      <c r="G39" s="1203"/>
      <c r="H39" s="1203"/>
      <c r="I39" s="1203"/>
      <c r="J39" s="1203"/>
      <c r="K39" s="1203"/>
    </row>
    <row r="40" spans="1:11" ht="18" customHeight="1">
      <c r="A40" s="1204" t="s">
        <v>213</v>
      </c>
      <c r="B40" s="1205"/>
      <c r="C40" s="1205"/>
      <c r="D40" s="1205"/>
      <c r="E40" s="1205"/>
      <c r="F40" s="1205"/>
      <c r="G40" s="1205"/>
      <c r="H40" s="1205"/>
      <c r="I40" s="1205"/>
      <c r="J40" s="1205"/>
      <c r="K40" s="1206"/>
    </row>
    <row r="41" spans="1:11" ht="21.75" customHeight="1">
      <c r="A41" s="1200" t="s">
        <v>360</v>
      </c>
      <c r="B41" s="1201"/>
      <c r="C41" s="1243" t="s">
        <v>3499</v>
      </c>
      <c r="D41" s="1243"/>
      <c r="E41" s="1243"/>
      <c r="F41" s="1243"/>
      <c r="G41" s="1197" t="s">
        <v>295</v>
      </c>
      <c r="H41" s="1198"/>
      <c r="I41" s="1198"/>
      <c r="J41" s="1198"/>
      <c r="K41" s="1199"/>
    </row>
    <row r="42" spans="1:11" ht="18" customHeight="1">
      <c r="A42" s="1209">
        <f ca="1">+TODAY()</f>
        <v>44720</v>
      </c>
      <c r="B42" s="1210"/>
      <c r="C42" s="1243"/>
      <c r="D42" s="1243"/>
      <c r="E42" s="1243"/>
      <c r="F42" s="1243"/>
      <c r="G42" s="1237"/>
      <c r="H42" s="1238"/>
      <c r="I42" s="1238"/>
      <c r="J42" s="1238"/>
      <c r="K42" s="1239"/>
    </row>
    <row r="43" spans="1:11" ht="18" customHeight="1">
      <c r="A43" s="1207"/>
      <c r="B43" s="1208"/>
      <c r="C43" s="1243"/>
      <c r="D43" s="1243"/>
      <c r="E43" s="1243"/>
      <c r="F43" s="1243"/>
      <c r="G43" s="1240"/>
      <c r="H43" s="1241"/>
      <c r="I43" s="1241"/>
      <c r="J43" s="1241"/>
      <c r="K43" s="1242"/>
    </row>
    <row r="44" spans="1:11" ht="5.0999999999999996" customHeight="1" thickBot="1">
      <c r="A44" s="1250"/>
      <c r="B44" s="857"/>
      <c r="C44" s="857"/>
      <c r="D44" s="857"/>
      <c r="E44" s="857"/>
      <c r="F44" s="857"/>
      <c r="G44" s="857"/>
      <c r="H44" s="857"/>
      <c r="I44" s="857"/>
      <c r="J44" s="857"/>
      <c r="K44" s="1251"/>
    </row>
    <row r="45" spans="1:11" ht="5.0999999999999996" customHeight="1">
      <c r="A45" s="946"/>
      <c r="B45" s="947"/>
      <c r="C45" s="947"/>
      <c r="D45" s="947"/>
      <c r="E45" s="947"/>
      <c r="F45" s="947"/>
      <c r="G45" s="947"/>
      <c r="H45" s="947"/>
      <c r="I45" s="947"/>
      <c r="J45" s="947"/>
      <c r="K45" s="947"/>
    </row>
    <row r="46" spans="1:11" s="25" customFormat="1" ht="14.1" customHeight="1">
      <c r="A46" s="1192"/>
      <c r="B46" s="789"/>
      <c r="C46" s="789"/>
      <c r="D46" s="789"/>
      <c r="E46" s="789"/>
      <c r="F46" s="1281" t="s">
        <v>246</v>
      </c>
      <c r="G46" s="933"/>
      <c r="H46" s="933"/>
      <c r="I46" s="933"/>
      <c r="J46" s="933"/>
      <c r="K46" s="934"/>
    </row>
    <row r="47" spans="1:11" s="25" customFormat="1" ht="9.9499999999999993" customHeight="1">
      <c r="A47" s="1193" t="s">
        <v>134</v>
      </c>
      <c r="B47" s="1076"/>
      <c r="C47" s="1076"/>
      <c r="D47" s="1076"/>
      <c r="E47" s="1076"/>
      <c r="F47" s="935"/>
      <c r="G47" s="813"/>
      <c r="H47" s="813"/>
      <c r="I47" s="813"/>
      <c r="J47" s="813"/>
      <c r="K47" s="917"/>
    </row>
    <row r="48" spans="1:11" s="25" customFormat="1" ht="18" customHeight="1">
      <c r="A48" s="1191" t="s">
        <v>3500</v>
      </c>
      <c r="B48" s="827"/>
      <c r="C48" s="827"/>
      <c r="D48" s="827"/>
      <c r="E48" s="827"/>
      <c r="F48" s="935"/>
      <c r="G48" s="813"/>
      <c r="H48" s="813"/>
      <c r="I48" s="813"/>
      <c r="J48" s="813"/>
      <c r="K48" s="917"/>
    </row>
    <row r="49" spans="1:11" s="25" customFormat="1" ht="18" customHeight="1">
      <c r="A49" s="1271" t="s">
        <v>78</v>
      </c>
      <c r="B49" s="1272"/>
      <c r="C49" s="1272"/>
      <c r="D49" s="1272"/>
      <c r="E49" s="1272"/>
      <c r="F49" s="935"/>
      <c r="G49" s="813"/>
      <c r="H49" s="813"/>
      <c r="I49" s="813"/>
      <c r="J49" s="813"/>
      <c r="K49" s="1282"/>
    </row>
    <row r="50" spans="1:11" s="25" customFormat="1" ht="18" customHeight="1">
      <c r="A50" s="1279" t="s">
        <v>3854</v>
      </c>
      <c r="B50" s="1280"/>
      <c r="C50" s="1280"/>
      <c r="D50" s="1280"/>
      <c r="E50" s="1280"/>
      <c r="F50" s="936"/>
      <c r="G50" s="937"/>
      <c r="H50" s="937"/>
      <c r="I50" s="937"/>
      <c r="J50" s="937"/>
      <c r="K50" s="938"/>
    </row>
    <row r="51" spans="1:11" s="25" customFormat="1" ht="5.0999999999999996" customHeight="1" thickBot="1">
      <c r="A51" s="1257"/>
      <c r="B51" s="1258"/>
      <c r="C51" s="1258"/>
      <c r="D51" s="1258"/>
      <c r="E51" s="1258"/>
      <c r="F51" s="1258"/>
      <c r="G51" s="1258"/>
      <c r="H51" s="1258"/>
      <c r="I51" s="1258"/>
      <c r="J51" s="1258"/>
      <c r="K51" s="1258"/>
    </row>
    <row r="52" spans="1:11" s="25" customFormat="1" ht="18" customHeight="1">
      <c r="A52" s="1254" t="s">
        <v>3501</v>
      </c>
      <c r="B52" s="1255"/>
      <c r="C52" s="1255"/>
      <c r="D52" s="1255"/>
      <c r="E52" s="1255"/>
      <c r="F52" s="1255"/>
      <c r="G52" s="1255"/>
      <c r="H52" s="1255"/>
      <c r="I52" s="1255"/>
      <c r="J52" s="1255"/>
      <c r="K52" s="1256"/>
    </row>
    <row r="53" spans="1:11" s="25" customFormat="1" ht="18" customHeight="1">
      <c r="A53" s="1252" t="s">
        <v>3502</v>
      </c>
      <c r="B53" s="1245"/>
      <c r="C53" s="1245"/>
      <c r="D53" s="1245"/>
      <c r="E53" s="1245"/>
      <c r="F53" s="1245"/>
      <c r="G53" s="1245"/>
      <c r="H53" s="1245"/>
      <c r="I53" s="1245"/>
      <c r="J53" s="1245"/>
      <c r="K53" s="1253"/>
    </row>
    <row r="54" spans="1:11" s="25" customFormat="1" ht="18" customHeight="1">
      <c r="A54" s="1252" t="s">
        <v>174</v>
      </c>
      <c r="B54" s="789"/>
      <c r="C54" s="789"/>
      <c r="D54" s="1246">
        <f>MAX(-'DAP3'!D48,-'DAP3'!D35,0)</f>
        <v>0</v>
      </c>
      <c r="E54" s="1247"/>
      <c r="F54" s="1247"/>
      <c r="G54" s="1247"/>
      <c r="H54" s="1247"/>
      <c r="I54" s="1247"/>
      <c r="J54" s="1248"/>
      <c r="K54" s="108" t="s">
        <v>36</v>
      </c>
    </row>
    <row r="55" spans="1:11" s="25" customFormat="1" ht="18" customHeight="1">
      <c r="A55" s="1252" t="s">
        <v>3503</v>
      </c>
      <c r="B55" s="789"/>
      <c r="C55" s="1273" t="str">
        <f>IF(D54=0," ",+CONCATENATE(ZAKL_DATA!B16," ",ZAKL_DATA!B17,", ",ZAKL_DATA!B18))</f>
        <v xml:space="preserve"> </v>
      </c>
      <c r="D55" s="1248"/>
      <c r="E55" s="1248"/>
      <c r="F55" s="1248"/>
      <c r="G55" s="1248"/>
      <c r="H55" s="1248"/>
      <c r="I55" s="1248"/>
      <c r="J55" s="1248"/>
      <c r="K55" s="108"/>
    </row>
    <row r="56" spans="1:11" s="25" customFormat="1" ht="18" customHeight="1">
      <c r="A56" s="106" t="s">
        <v>3764</v>
      </c>
      <c r="B56" s="107"/>
      <c r="C56" s="1247" t="str">
        <f>IF(D54=0," ",+CONCATENATE(ZAKL_DATA!B34))</f>
        <v xml:space="preserve"> </v>
      </c>
      <c r="D56" s="1248"/>
      <c r="E56" s="1248"/>
      <c r="F56" s="267" t="s">
        <v>229</v>
      </c>
      <c r="G56" s="1247" t="str">
        <f>IF(D54=0," ",+CONCATENATE(ZAKL_DATA!B32))</f>
        <v xml:space="preserve"> </v>
      </c>
      <c r="H56" s="1247"/>
      <c r="I56" s="1247"/>
      <c r="J56" s="1247"/>
      <c r="K56" s="108"/>
    </row>
    <row r="57" spans="1:11" s="25" customFormat="1" ht="18" customHeight="1">
      <c r="A57" s="106" t="s">
        <v>35</v>
      </c>
      <c r="B57" s="1244" t="str">
        <f>IF(D54=0," ",+CONCATENATE(ZAKL_DATA!B33))</f>
        <v xml:space="preserve"> </v>
      </c>
      <c r="C57" s="1244"/>
      <c r="D57" s="1244"/>
      <c r="E57" s="1245" t="s">
        <v>231</v>
      </c>
      <c r="F57" s="1245"/>
      <c r="G57" s="1245"/>
      <c r="H57" s="1249"/>
      <c r="I57" s="1249"/>
      <c r="J57" s="1249"/>
      <c r="K57" s="108"/>
    </row>
    <row r="58" spans="1:11" s="25" customFormat="1" ht="18" customHeight="1">
      <c r="A58" s="106" t="s">
        <v>206</v>
      </c>
      <c r="B58" s="1266" t="str">
        <f>IF(D54=0," ",+CONCATENATE('DAP1'!B28," ",'DAP1'!J28))</f>
        <v xml:space="preserve"> </v>
      </c>
      <c r="C58" s="1266"/>
      <c r="D58" s="1267" t="s">
        <v>3504</v>
      </c>
      <c r="E58" s="948"/>
      <c r="F58" s="948"/>
      <c r="G58" s="948"/>
      <c r="H58" s="1194" t="s">
        <v>202</v>
      </c>
      <c r="I58" s="1194"/>
      <c r="J58" s="1194"/>
      <c r="K58" s="108"/>
    </row>
    <row r="59" spans="1:11" s="25" customFormat="1" ht="36" customHeight="1" thickBot="1">
      <c r="A59" s="1259" t="str">
        <f>CONCATENATE(+'DAP1'!B31,", dne ")</f>
        <v xml:space="preserve">0, dne </v>
      </c>
      <c r="B59" s="1260"/>
      <c r="C59" s="569">
        <f ca="1">+TODAY()</f>
        <v>44720</v>
      </c>
      <c r="D59" s="1261" t="s">
        <v>3792</v>
      </c>
      <c r="E59" s="1262"/>
      <c r="F59" s="1263"/>
      <c r="G59" s="1264"/>
      <c r="H59" s="1264"/>
      <c r="I59" s="1264"/>
      <c r="J59" s="1264"/>
      <c r="K59" s="1265"/>
    </row>
    <row r="60" spans="1:11">
      <c r="A60" s="1188" t="str">
        <f>+'DAP1'!A46:L46</f>
        <v>Formulář zpracovala ASPEKT HM, daňová, účetní a auditorská kancelář, www.danovapriznani.cz, business.center.cz</v>
      </c>
      <c r="B60" s="1189"/>
      <c r="C60" s="1189"/>
      <c r="D60" s="1189"/>
      <c r="E60" s="1189"/>
      <c r="F60" s="1189"/>
      <c r="G60" s="1189"/>
      <c r="H60" s="1189"/>
      <c r="I60" s="1189"/>
      <c r="J60" s="1189"/>
      <c r="K60" s="1190"/>
    </row>
    <row r="61" spans="1:11">
      <c r="A61" s="1186">
        <v>4</v>
      </c>
      <c r="B61" s="1186"/>
      <c r="C61" s="1186"/>
      <c r="D61" s="1186"/>
      <c r="E61" s="1186"/>
      <c r="F61" s="1186"/>
      <c r="G61" s="1186"/>
      <c r="H61" s="1186"/>
      <c r="I61" s="1186"/>
      <c r="J61" s="1186"/>
      <c r="K61" s="1187"/>
    </row>
  </sheetData>
  <sheetProtection algorithmName="SHA-512" hashValue="ct2qGbr1G+Z9O+YC6MsBt+aMte07w5nq4wTZ4n6X5iKMkssCM9pZG4P1P16FnKzx5H5w6x+cvI7Zf2S6KzkNSQ==" saltValue="/rHCmG2fAFZ63zDvCNY0mQ==" spinCount="100000" sheet="1" objects="1" scenarios="1"/>
  <mergeCells count="78">
    <mergeCell ref="A7:J7"/>
    <mergeCell ref="A49:E49"/>
    <mergeCell ref="C56:E56"/>
    <mergeCell ref="C55:J55"/>
    <mergeCell ref="A31:K31"/>
    <mergeCell ref="A24:J24"/>
    <mergeCell ref="A20:J20"/>
    <mergeCell ref="A21:J21"/>
    <mergeCell ref="A26:K26"/>
    <mergeCell ref="A27:K27"/>
    <mergeCell ref="A30:K30"/>
    <mergeCell ref="C28:D28"/>
    <mergeCell ref="C29:D29"/>
    <mergeCell ref="A45:K45"/>
    <mergeCell ref="A50:E50"/>
    <mergeCell ref="F46:K50"/>
    <mergeCell ref="A59:B59"/>
    <mergeCell ref="D59:E59"/>
    <mergeCell ref="F59:K59"/>
    <mergeCell ref="B58:C58"/>
    <mergeCell ref="D58:G58"/>
    <mergeCell ref="G42:K43"/>
    <mergeCell ref="C41:F43"/>
    <mergeCell ref="B57:D57"/>
    <mergeCell ref="E57:G57"/>
    <mergeCell ref="D54:J54"/>
    <mergeCell ref="H57:J57"/>
    <mergeCell ref="A44:K44"/>
    <mergeCell ref="A53:K53"/>
    <mergeCell ref="A55:B55"/>
    <mergeCell ref="G56:J56"/>
    <mergeCell ref="A52:K52"/>
    <mergeCell ref="A51:K51"/>
    <mergeCell ref="A54:C54"/>
    <mergeCell ref="A8:J8"/>
    <mergeCell ref="A11:J11"/>
    <mergeCell ref="A25:J25"/>
    <mergeCell ref="A9:J9"/>
    <mergeCell ref="A13:J13"/>
    <mergeCell ref="A12:J12"/>
    <mergeCell ref="A10:J10"/>
    <mergeCell ref="A14:J14"/>
    <mergeCell ref="A15:J15"/>
    <mergeCell ref="A16:J16"/>
    <mergeCell ref="A22:J22"/>
    <mergeCell ref="A23:J23"/>
    <mergeCell ref="A1:K1"/>
    <mergeCell ref="A2:K2"/>
    <mergeCell ref="A3:J3"/>
    <mergeCell ref="A4:J4"/>
    <mergeCell ref="A38:K38"/>
    <mergeCell ref="A32:K32"/>
    <mergeCell ref="A33:K33"/>
    <mergeCell ref="A34:K34"/>
    <mergeCell ref="A35:K35"/>
    <mergeCell ref="A37:K37"/>
    <mergeCell ref="A36:K36"/>
    <mergeCell ref="A29:B29"/>
    <mergeCell ref="E29:K29"/>
    <mergeCell ref="A28:B28"/>
    <mergeCell ref="A18:J18"/>
    <mergeCell ref="A19:J19"/>
    <mergeCell ref="A5:J5"/>
    <mergeCell ref="A6:J6"/>
    <mergeCell ref="A17:J17"/>
    <mergeCell ref="A61:K61"/>
    <mergeCell ref="A60:K60"/>
    <mergeCell ref="A48:E48"/>
    <mergeCell ref="A46:E46"/>
    <mergeCell ref="A47:E47"/>
    <mergeCell ref="H58:J58"/>
    <mergeCell ref="E28:K28"/>
    <mergeCell ref="G41:K41"/>
    <mergeCell ref="A41:B41"/>
    <mergeCell ref="A39:K39"/>
    <mergeCell ref="A40:K40"/>
    <mergeCell ref="A43:B43"/>
    <mergeCell ref="A42:B42"/>
  </mergeCells>
  <phoneticPr fontId="11" type="noConversion"/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89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30</vt:i4>
      </vt:variant>
    </vt:vector>
  </HeadingPairs>
  <TitlesOfParts>
    <vt:vector size="60" baseType="lpstr">
      <vt:lpstr>FU</vt:lpstr>
      <vt:lpstr>XML export</vt:lpstr>
      <vt:lpstr>UVOD</vt:lpstr>
      <vt:lpstr>ZAKL_DATA</vt:lpstr>
      <vt:lpstr>XML_export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SP1</vt:lpstr>
      <vt:lpstr>SP2</vt:lpstr>
      <vt:lpstr>SP_zam</vt:lpstr>
      <vt:lpstr>SP_stud</vt:lpstr>
      <vt:lpstr>SP_prijem</vt:lpstr>
      <vt:lpstr>VZP</vt:lpstr>
      <vt:lpstr>Ostatní ZP</vt:lpstr>
      <vt:lpstr>Zálohy</vt:lpstr>
      <vt:lpstr>Účetní_závěrka</vt:lpstr>
      <vt:lpstr>fin_ur</vt:lpstr>
      <vt:lpstr>'1Př1'!Oblast_tisku</vt:lpstr>
      <vt:lpstr>'1Př2'!Oblast_tisku</vt:lpstr>
      <vt:lpstr>'2Př'!Oblast_tisku</vt:lpstr>
      <vt:lpstr>'3Př'!Oblast_tisku</vt:lpstr>
      <vt:lpstr>'3Př_a'!Oblast_tisku</vt:lpstr>
      <vt:lpstr>'4Př'!Oblast_tisku</vt:lpstr>
      <vt:lpstr>'6Př'!Oblast_tisku</vt:lpstr>
      <vt:lpstr>'DAP1'!Oblast_tisku</vt:lpstr>
      <vt:lpstr>'DAP2'!Oblast_tisku</vt:lpstr>
      <vt:lpstr>'DAP3'!Oblast_tisku</vt:lpstr>
      <vt:lpstr>'DAP4'!Oblast_tisku</vt:lpstr>
      <vt:lpstr>'Ostatní ZP'!Oblast_tisku</vt:lpstr>
      <vt:lpstr>Potvr_ZAM!Oblast_tisku</vt:lpstr>
      <vt:lpstr>Prohl_manž!Oblast_tisku</vt:lpstr>
      <vt:lpstr>Př_b!Oblast_tisku</vt:lpstr>
      <vt:lpstr>Příl_děti!Oblast_tisku</vt:lpstr>
      <vt:lpstr>SP_prijem!Oblast_tisku</vt:lpstr>
      <vt:lpstr>SP_stud!Oblast_tisku</vt:lpstr>
      <vt:lpstr>SP_zam!Oblast_tisku</vt:lpstr>
      <vt:lpstr>'SP1'!Oblast_tisku</vt:lpstr>
      <vt:lpstr>'SP2'!Oblast_tisku</vt:lpstr>
      <vt:lpstr>Účetní_závěrka!Oblast_tisku</vt:lpstr>
      <vt:lpstr>UVOD!Oblast_tisku</vt:lpstr>
      <vt:lpstr>VZP!Oblast_tisku</vt:lpstr>
      <vt:lpstr>XML_export!Oblast_tisku</vt:lpstr>
      <vt:lpstr>ZAKL_DATA!Oblast_tisku</vt:lpstr>
      <vt:lpstr>Zálohy!Oblast_tisku</vt:lpstr>
      <vt:lpstr>ZAV!Oblast_tisku</vt:lpstr>
      <vt:lpstr>staty</vt:lpstr>
    </vt:vector>
  </TitlesOfParts>
  <Company>Aspekt HM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25.2.2002</dc:subject>
  <dc:creator>Martin Štěpán</dc:creator>
  <cp:lastModifiedBy>Martin Štěpán</cp:lastModifiedBy>
  <cp:lastPrinted>2022-01-06T16:20:46Z</cp:lastPrinted>
  <dcterms:created xsi:type="dcterms:W3CDTF">2000-01-30T17:10:20Z</dcterms:created>
  <dcterms:modified xsi:type="dcterms:W3CDTF">2022-06-08T13:14:01Z</dcterms:modified>
</cp:coreProperties>
</file>